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A9BE542-DCE4-B244-B341-DA37527B9D07}" xr6:coauthVersionLast="47" xr6:coauthVersionMax="47" xr10:uidLastSave="{00000000-0000-0000-0000-000000000000}"/>
  <bookViews>
    <workbookView xWindow="540" yWindow="500" windowWidth="279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9" i="1" l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19" i="1" s="1"/>
  <c r="AD95" i="1" a="1"/>
  <c r="AD95" i="1" s="1"/>
  <c r="AD97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E13" i="1"/>
  <c r="AD13" i="1"/>
  <c r="AC13" i="1"/>
  <c r="AB13" i="1"/>
  <c r="AE10" i="1"/>
  <c r="AD10" i="1"/>
  <c r="AC10" i="1"/>
  <c r="AB10" i="1"/>
  <c r="AE7" i="1"/>
  <c r="AD7" i="1"/>
  <c r="AC7" i="1"/>
  <c r="AB7" i="1"/>
  <c r="AE4" i="1"/>
  <c r="AD4" i="1"/>
  <c r="AC4" i="1"/>
  <c r="AB4" i="1"/>
  <c r="V106" i="1"/>
  <c r="V93" i="1"/>
  <c r="V80" i="1"/>
  <c r="V89" i="1"/>
  <c r="V105" i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AT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T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9" i="1" l="1"/>
  <c r="AD16" i="1"/>
  <c r="AE16" i="1"/>
  <c r="AC16" i="1"/>
  <c r="AD106" i="1"/>
  <c r="W106" i="1" s="1"/>
  <c r="X106" i="1" s="1"/>
  <c r="Y106" i="1" s="1"/>
  <c r="Z106" i="1" s="1"/>
  <c r="AA106" i="1" s="1"/>
  <c r="X112" i="1"/>
  <c r="AD103" i="1"/>
  <c r="AD102" i="1" s="1"/>
  <c r="W108" i="1" l="1"/>
  <c r="X108" i="1"/>
  <c r="AD100" i="1"/>
  <c r="AD105" i="1" s="1"/>
  <c r="AD108" i="1" s="1"/>
  <c r="AA107" i="1" s="1"/>
  <c r="AA108" i="1" s="1"/>
  <c r="Y108" i="1"/>
  <c r="Z108" i="1" l="1"/>
  <c r="X110" i="1"/>
  <c r="X113" i="1" s="1"/>
  <c r="X115" i="1" s="1"/>
  <c r="X118" i="1" l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<sst xmlns="http://schemas.openxmlformats.org/spreadsheetml/2006/main" count="836" uniqueCount="162">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</sst>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1'!$B$106:$V$106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1169789000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1.3187</v>
    <v>-8.07</v>
    <v>-1.9202E-2</v>
    <v>-0.05</v>
    <v>-1.2130000000000001E-4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418</v>
    <v>Specialty Retailers</v>
    <v>Stock</v>
    <v>45076.999782696097</v>
    <v>0</v>
    <v>403.15</v>
    <v>20528215398</v>
    <v>ULTA BEAUTY, INC.</v>
    <v>ULTA BEAUTY, INC.</v>
    <v>417.65</v>
    <v>17.093499999999999</v>
    <v>420.27</v>
    <v>412.2</v>
    <v>412.15</v>
    <v>49801590</v>
    <v>ULTA</v>
    <v>ULTA BEAUTY, INC. (XNAS:ULTA)</v>
    <v>3395592</v>
    <v>1003973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T82" activePane="bottomRight" state="frozen"/>
      <selection pane="topRight"/>
      <selection pane="bottomLeft"/>
      <selection pane="bottomRight" activeCell="Y98" sqref="Y98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42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7">
        <v>2024</v>
      </c>
      <c r="X1" s="27">
        <v>2025</v>
      </c>
      <c r="Y1" s="27">
        <v>2026</v>
      </c>
      <c r="Z1" s="27">
        <v>2027</v>
      </c>
      <c r="AA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/>
      <c r="Z2" s="9"/>
      <c r="AA2" s="9"/>
      <c r="AB2" s="9"/>
      <c r="AC2" s="9"/>
      <c r="AD2" s="9"/>
      <c r="AE2" s="9"/>
    </row>
    <row r="3" spans="1:42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8">
        <v>11051000000</v>
      </c>
      <c r="X3" s="28">
        <v>11707000000</v>
      </c>
      <c r="Y3" s="28">
        <v>12407000000</v>
      </c>
      <c r="Z3" s="28">
        <v>12857000000</v>
      </c>
      <c r="AA3" s="28">
        <v>13509000000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42" ht="19" x14ac:dyDescent="0.25">
      <c r="A4" s="14" t="s">
        <v>94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8.2582288401253923E-2</v>
      </c>
      <c r="X4" s="16">
        <f t="shared" si="0"/>
        <v>5.9361143787892479E-2</v>
      </c>
      <c r="Y4" s="16">
        <f t="shared" si="0"/>
        <v>5.9793286068164253E-2</v>
      </c>
      <c r="Z4" s="16">
        <f t="shared" si="0"/>
        <v>3.6269847666639876E-2</v>
      </c>
      <c r="AA4" s="16">
        <f t="shared" si="0"/>
        <v>5.0711674574162036E-2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(V105+U105+T105)/3</f>
        <v>0.16204105335951391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>
        <v>259836000</v>
      </c>
      <c r="C5" s="1">
        <v>312203000</v>
      </c>
      <c r="D5" s="1" t="s">
        <v>92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42" ht="20" x14ac:dyDescent="0.25">
      <c r="A6" s="6" t="s">
        <v>3</v>
      </c>
      <c r="B6" s="10">
        <v>102381000</v>
      </c>
      <c r="C6" s="10">
        <v>111660000</v>
      </c>
      <c r="D6" s="10" t="s">
        <v>92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42" ht="19" x14ac:dyDescent="0.25">
      <c r="A7" s="5" t="s">
        <v>4</v>
      </c>
      <c r="B7" s="2">
        <v>0.28270000000000001</v>
      </c>
      <c r="C7" s="2">
        <v>0.26340000000000002</v>
      </c>
      <c r="D7" s="2" t="s">
        <v>92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V106/V3</f>
        <v>0.11459531739811912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42" ht="19" customHeight="1" x14ac:dyDescent="0.25">
      <c r="A9" s="14" t="s">
        <v>95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96</v>
      </c>
      <c r="AC9" s="19" t="s">
        <v>97</v>
      </c>
      <c r="AD9" s="19" t="s">
        <v>98</v>
      </c>
      <c r="AE9" s="19" t="s">
        <v>99</v>
      </c>
      <c r="AF9" s="15"/>
      <c r="AG9" s="15"/>
      <c r="AH9" s="15"/>
      <c r="AI9" s="15"/>
      <c r="AJ9" s="15"/>
      <c r="AK9" s="15"/>
      <c r="AL9" s="15"/>
    </row>
    <row r="10" spans="1:42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>
        <v>1583017000</v>
      </c>
      <c r="U10" s="1" t="s">
        <v>92</v>
      </c>
      <c r="V10" s="1" t="s">
        <v>92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42" ht="20" x14ac:dyDescent="0.25">
      <c r="A12" s="5" t="s">
        <v>8</v>
      </c>
      <c r="B12" s="1">
        <v>86382000</v>
      </c>
      <c r="C12" s="1">
        <v>98446000</v>
      </c>
      <c r="D12" s="1" t="s">
        <v>92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42" ht="19" x14ac:dyDescent="0.25">
      <c r="A13" s="14" t="s">
        <v>100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42" ht="19" x14ac:dyDescent="0.25">
      <c r="A14" s="5" t="s">
        <v>9</v>
      </c>
      <c r="B14" s="1">
        <v>2751000</v>
      </c>
      <c r="C14" s="1">
        <v>2318000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42" ht="20" x14ac:dyDescent="0.25">
      <c r="A15" s="5" t="s">
        <v>10</v>
      </c>
      <c r="B15" s="1">
        <v>89133000</v>
      </c>
      <c r="C15" s="1">
        <v>100764000</v>
      </c>
      <c r="D15" s="1" t="s">
        <v>92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42" ht="19" x14ac:dyDescent="0.25">
      <c r="A16" s="5" t="s">
        <v>11</v>
      </c>
      <c r="B16" s="1">
        <v>348969000</v>
      </c>
      <c r="C16" s="1">
        <v>412967000</v>
      </c>
      <c r="D16" s="1" t="s">
        <v>92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9">
        <f>(V35+U35+T35+S35+R35)/5</f>
        <v>-3.4529845148112706E-2</v>
      </c>
      <c r="AC16" s="66">
        <f>AD101/V3</f>
        <v>2.0109928877351098</v>
      </c>
      <c r="AD16" s="66">
        <f>AD101/V28</f>
        <v>16.522925961519888</v>
      </c>
      <c r="AE16" s="67">
        <f>AD101/V106</f>
        <v>17.548648002332044</v>
      </c>
    </row>
    <row r="17" spans="1:4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47" ht="20" x14ac:dyDescent="0.25">
      <c r="A18" s="5" t="s">
        <v>13</v>
      </c>
      <c r="B18" s="1">
        <v>12522000</v>
      </c>
      <c r="C18" s="1">
        <v>15411000</v>
      </c>
      <c r="D18" s="1" t="s">
        <v>92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159</v>
      </c>
      <c r="AC18" s="19" t="s">
        <v>160</v>
      </c>
      <c r="AD18" s="19" t="s">
        <v>161</v>
      </c>
    </row>
    <row r="19" spans="1:47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61">
        <v>1927000000</v>
      </c>
      <c r="X19" s="61">
        <v>1997000000</v>
      </c>
      <c r="Y19" s="61">
        <v>2158000000</v>
      </c>
      <c r="Z19" s="61">
        <v>2301000000</v>
      </c>
      <c r="AA19" s="61">
        <v>2440000000</v>
      </c>
      <c r="AB19" s="48">
        <f>V40-V56-V61</f>
        <v>-1165299000</v>
      </c>
      <c r="AC19" s="66">
        <f>AD101/W3</f>
        <v>1.8575889419961995</v>
      </c>
      <c r="AD19" s="68">
        <f>AD101/W28</f>
        <v>16.215020061611373</v>
      </c>
    </row>
    <row r="20" spans="1:47" ht="19" customHeight="1" x14ac:dyDescent="0.25">
      <c r="A20" s="14" t="s">
        <v>101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6">
        <f t="shared" ref="W20" si="4">(W19/V19)-1</f>
        <v>0.10047628293719235</v>
      </c>
      <c r="X20" s="16">
        <f t="shared" ref="X20" si="5">(X19/W19)-1</f>
        <v>3.6325895173845435E-2</v>
      </c>
      <c r="Y20" s="16">
        <f t="shared" ref="Y20" si="6">(Y19/X19)-1</f>
        <v>8.0620931397095585E-2</v>
      </c>
      <c r="Z20" s="16">
        <f t="shared" ref="Z20" si="7">(Z19/Y19)-1</f>
        <v>6.6265060240963791E-2</v>
      </c>
      <c r="AA20" s="16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60">
        <f>V19/V3</f>
        <v>0.17153800940438871</v>
      </c>
      <c r="W21" s="62">
        <f>W19/W3</f>
        <v>0.17437335987693423</v>
      </c>
      <c r="X21" s="62">
        <f t="shared" ref="X21:AA21" si="9">X19/X3</f>
        <v>0.17058170325446315</v>
      </c>
      <c r="Y21" s="62">
        <f t="shared" si="9"/>
        <v>0.1739340694769082</v>
      </c>
      <c r="Z21" s="62">
        <f t="shared" si="9"/>
        <v>0.17896865520728009</v>
      </c>
      <c r="AA21" s="62">
        <f t="shared" si="9"/>
        <v>0.18062032718928123</v>
      </c>
    </row>
    <row r="22" spans="1:47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9">
        <v>1638610000</v>
      </c>
    </row>
    <row r="23" spans="1:47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47" ht="19" x14ac:dyDescent="0.25">
      <c r="A24" s="5" t="s">
        <v>18</v>
      </c>
      <c r="B24" s="1">
        <v>-2349000</v>
      </c>
      <c r="C24" s="1">
        <v>-2789000</v>
      </c>
      <c r="D24" s="1" t="s">
        <v>92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47" ht="19" x14ac:dyDescent="0.25">
      <c r="A25" s="6" t="s">
        <v>19</v>
      </c>
      <c r="B25" s="10">
        <v>10899000</v>
      </c>
      <c r="C25" s="10">
        <v>8107000</v>
      </c>
      <c r="D25" s="10" t="s">
        <v>92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47" ht="19" x14ac:dyDescent="0.25">
      <c r="A26" s="5" t="s">
        <v>20</v>
      </c>
      <c r="B26" s="2">
        <v>3.0099999999999998E-2</v>
      </c>
      <c r="C26" s="2">
        <v>1.9099999999999999E-2</v>
      </c>
      <c r="D26" s="2" t="s">
        <v>92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47" ht="19" x14ac:dyDescent="0.25">
      <c r="A27" s="5" t="s">
        <v>21</v>
      </c>
      <c r="B27" s="1">
        <v>1203000</v>
      </c>
      <c r="C27" s="1">
        <v>3023000</v>
      </c>
      <c r="D27" s="1" t="s">
        <v>92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47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3">
        <v>1266000000</v>
      </c>
      <c r="X28" s="63">
        <v>1318000000</v>
      </c>
      <c r="Y28" s="63">
        <v>1411000000</v>
      </c>
      <c r="Z28" s="63">
        <v>1456000000</v>
      </c>
      <c r="AA28" s="63">
        <v>1540000000</v>
      </c>
    </row>
    <row r="29" spans="1:47" ht="20" customHeight="1" thickTop="1" x14ac:dyDescent="0.25">
      <c r="A29" s="14" t="s">
        <v>102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4">
        <f t="shared" ref="W30:AA30" si="16">W28/W3</f>
        <v>0.11455976834675595</v>
      </c>
      <c r="X30" s="64">
        <f t="shared" si="16"/>
        <v>0.11258221576834372</v>
      </c>
      <c r="Y30" s="64">
        <f t="shared" si="16"/>
        <v>0.11372612235028613</v>
      </c>
      <c r="Z30" s="64">
        <f t="shared" si="16"/>
        <v>0.11324570273003033</v>
      </c>
      <c r="AA30" s="64">
        <f t="shared" si="16"/>
        <v>0.1139980753571693</v>
      </c>
    </row>
    <row r="31" spans="1:47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5">
        <v>25.27</v>
      </c>
      <c r="X31" s="65">
        <v>26.32</v>
      </c>
      <c r="Y31" s="65">
        <v>28.17</v>
      </c>
      <c r="Z31" s="65">
        <v>29.07</v>
      </c>
      <c r="AA31" s="65">
        <v>30.74</v>
      </c>
    </row>
    <row r="32" spans="1:47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103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38" ht="19" x14ac:dyDescent="0.25">
      <c r="A38" s="5" t="s">
        <v>30</v>
      </c>
      <c r="B38" s="1" t="s">
        <v>92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92</v>
      </c>
      <c r="S39" s="1">
        <v>110000000</v>
      </c>
      <c r="T39" s="1" t="s">
        <v>92</v>
      </c>
      <c r="U39" s="1" t="s">
        <v>92</v>
      </c>
      <c r="V39" s="1" t="s">
        <v>92</v>
      </c>
    </row>
    <row r="40" spans="1:38" ht="19" x14ac:dyDescent="0.25">
      <c r="A40" s="5" t="s">
        <v>32</v>
      </c>
      <c r="B40" s="1" t="s">
        <v>92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92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3962000</v>
      </c>
      <c r="F50" s="1">
        <v>4125000</v>
      </c>
      <c r="G50" s="1">
        <v>4080000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</row>
    <row r="51" spans="1:22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199000</v>
      </c>
      <c r="F51" s="1">
        <v>346000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92</v>
      </c>
      <c r="C53" s="1">
        <v>195059000</v>
      </c>
      <c r="D53" s="1">
        <v>206420000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 t="s">
        <v>92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18000000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10781000</v>
      </c>
      <c r="J57" s="1" t="s">
        <v>92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>
        <v>101288000</v>
      </c>
      <c r="I62" s="1">
        <v>113718000</v>
      </c>
      <c r="J62" s="1">
        <v>134572000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45241000</v>
      </c>
      <c r="F64" s="1">
        <v>55159000</v>
      </c>
      <c r="G64" s="1">
        <v>71235000</v>
      </c>
      <c r="H64" s="1" t="s">
        <v>92</v>
      </c>
      <c r="I64" s="1" t="s">
        <v>92</v>
      </c>
      <c r="J64" s="1" t="s">
        <v>92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92</v>
      </c>
      <c r="C66" s="1">
        <v>107700000</v>
      </c>
      <c r="D66" s="1">
        <v>113642000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38" ht="19" x14ac:dyDescent="0.25">
      <c r="A67" s="6" t="s">
        <v>58</v>
      </c>
      <c r="B67" s="10" t="s">
        <v>92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92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92</v>
      </c>
      <c r="V70" s="1" t="s">
        <v>92</v>
      </c>
    </row>
    <row r="71" spans="1:38" ht="19" x14ac:dyDescent="0.25">
      <c r="A71" s="5" t="s">
        <v>62</v>
      </c>
      <c r="B71" s="1" t="s">
        <v>92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92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92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92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104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71" t="s">
        <v>125</v>
      </c>
      <c r="AD83" s="72"/>
    </row>
    <row r="84" spans="1:46" ht="19" customHeight="1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73" t="s">
        <v>126</v>
      </c>
      <c r="AD84" s="74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7157000</v>
      </c>
      <c r="F85" s="1">
        <v>9918000</v>
      </c>
      <c r="G85" s="1">
        <v>20868000</v>
      </c>
      <c r="H85" s="1" t="s">
        <v>92</v>
      </c>
      <c r="I85" s="1" t="s">
        <v>92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49" t="s">
        <v>127</v>
      </c>
      <c r="AD85" s="50">
        <f>V17</f>
        <v>4943000</v>
      </c>
    </row>
    <row r="86" spans="1:46" ht="20" x14ac:dyDescent="0.25">
      <c r="A86" s="5" t="s">
        <v>72</v>
      </c>
      <c r="B86" s="1" t="s">
        <v>92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49" t="s">
        <v>128</v>
      </c>
      <c r="AD86" s="50">
        <f>V56</f>
        <v>283293000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49" t="s">
        <v>129</v>
      </c>
      <c r="AD87" s="50">
        <f>V61</f>
        <v>1619883000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51" t="s">
        <v>130</v>
      </c>
      <c r="AD88" s="52">
        <f>AD85/(AD86+AD87)</f>
        <v>2.5972374599091204E-3</v>
      </c>
    </row>
    <row r="89" spans="1:46" ht="20" customHeight="1" x14ac:dyDescent="0.25">
      <c r="A89" s="14" t="s">
        <v>105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49" t="s">
        <v>106</v>
      </c>
      <c r="AD89" s="50">
        <f>V27</f>
        <v>401163000</v>
      </c>
      <c r="AE89" s="15"/>
      <c r="AF89" s="15"/>
      <c r="AG89" s="15"/>
      <c r="AH89" s="15"/>
      <c r="AI89" s="15"/>
      <c r="AJ89" s="15"/>
      <c r="AK89" s="15"/>
      <c r="AL89" s="15"/>
      <c r="AS89" s="23" t="s">
        <v>106</v>
      </c>
      <c r="AT89" s="24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-15707000</v>
      </c>
      <c r="S90" s="1">
        <v>-62946000</v>
      </c>
      <c r="T90" s="1">
        <v>-6885000</v>
      </c>
      <c r="U90" s="1" t="s">
        <v>92</v>
      </c>
      <c r="V90" s="1" t="s">
        <v>92</v>
      </c>
      <c r="AC90" s="49" t="s">
        <v>19</v>
      </c>
      <c r="AD90" s="50">
        <f>V25</f>
        <v>1640273000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92</v>
      </c>
      <c r="U91" s="1">
        <v>-4297000</v>
      </c>
      <c r="V91" s="1">
        <v>-2458000</v>
      </c>
      <c r="AC91" s="51" t="s">
        <v>131</v>
      </c>
      <c r="AD91" s="52">
        <f>AD89/AD90</f>
        <v>0.24457087326317023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92</v>
      </c>
      <c r="T92" s="1">
        <v>110000000</v>
      </c>
      <c r="U92" s="1" t="s">
        <v>92</v>
      </c>
      <c r="V92" s="1" t="s">
        <v>92</v>
      </c>
      <c r="AC92" s="53" t="s">
        <v>132</v>
      </c>
      <c r="AD92" s="54">
        <f>AD88*(1-AD91)</f>
        <v>1.9620288262673291E-3</v>
      </c>
    </row>
    <row r="93" spans="1:46" ht="19" customHeight="1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-2414000</v>
      </c>
      <c r="G93" s="1">
        <v>4467000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75" t="s">
        <v>133</v>
      </c>
      <c r="AD93" s="76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49" t="s">
        <v>134</v>
      </c>
      <c r="AD94" s="55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>
        <v>-1186692000</v>
      </c>
      <c r="I95" s="1">
        <v>-1267720000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-800000000</v>
      </c>
      <c r="U95" s="1" t="s">
        <v>92</v>
      </c>
      <c r="V95" s="1" t="s">
        <v>92</v>
      </c>
      <c r="AC95" s="49" t="s">
        <v>135</v>
      </c>
      <c r="AD95" s="56" cm="1">
        <f t="array" ref="AD95">_FV(A1,"Beta")</f>
        <v>1.3187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49" t="s">
        <v>136</v>
      </c>
      <c r="AD96" s="55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-2217000</v>
      </c>
      <c r="G97" s="1">
        <v>-6742000</v>
      </c>
      <c r="H97" s="1">
        <v>-59000</v>
      </c>
      <c r="I97" s="1" t="s">
        <v>92</v>
      </c>
      <c r="J97" s="1" t="s">
        <v>92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53" t="s">
        <v>137</v>
      </c>
      <c r="AD97" s="54">
        <f>(AD94)+((AD95)*(AD96-AD94))</f>
        <v>9.7720035000000011E-2</v>
      </c>
    </row>
    <row r="98" spans="1:46" ht="19" customHeight="1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-93012000</v>
      </c>
      <c r="H98" s="1" t="s">
        <v>92</v>
      </c>
      <c r="I98" s="1" t="s">
        <v>92</v>
      </c>
      <c r="J98" s="1" t="s">
        <v>92</v>
      </c>
      <c r="K98" s="1" t="s">
        <v>92</v>
      </c>
      <c r="L98" s="1">
        <v>-62482000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AC98" s="75" t="s">
        <v>138</v>
      </c>
      <c r="AD98" s="76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49" t="s">
        <v>139</v>
      </c>
      <c r="AD99" s="50">
        <f>AD86+AD87</f>
        <v>1903176000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51" t="s">
        <v>140</v>
      </c>
      <c r="AD100" s="52">
        <f>AD99/AD103</f>
        <v>8.4844313321093781E-2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>
        <v>56000</v>
      </c>
      <c r="U101" s="1">
        <v>-56000</v>
      </c>
      <c r="V101" s="1">
        <v>-56000</v>
      </c>
      <c r="AC101" s="49" t="s">
        <v>141</v>
      </c>
      <c r="AD101" s="41" cm="1">
        <f t="array" ref="AD101">_FV(A1,"Market cap",TRUE)</f>
        <v>20528215398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51" t="s">
        <v>142</v>
      </c>
      <c r="AD102" s="52">
        <f>AD101/AD103</f>
        <v>0.91515568667890623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53" t="s">
        <v>143</v>
      </c>
      <c r="AD103" s="57">
        <f>AD99+AD101</f>
        <v>22431391398</v>
      </c>
    </row>
    <row r="104" spans="1:46" ht="19" customHeight="1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73" t="s">
        <v>144</v>
      </c>
      <c r="AD104" s="74"/>
    </row>
    <row r="105" spans="1:46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>
        <f>(F106/E106)-1</f>
        <v>0.67274088866699944</v>
      </c>
      <c r="G105" s="15">
        <f>(G106/F106)-1</f>
        <v>7.2017609312042978</v>
      </c>
      <c r="H105" s="15">
        <f t="shared" ref="H105:V105" si="22">(H106/G106)-1</f>
        <v>-0.35116448326055316</v>
      </c>
      <c r="I105" s="15">
        <f t="shared" si="22"/>
        <v>-3.9366797532249018</v>
      </c>
      <c r="J105" s="15">
        <f t="shared" si="22"/>
        <v>-0.24153473004717252</v>
      </c>
      <c r="K105" s="15">
        <f t="shared" si="22"/>
        <v>0.16144180893387716</v>
      </c>
      <c r="L105" s="15">
        <f t="shared" si="22"/>
        <v>-0.45341513913128317</v>
      </c>
      <c r="M105" s="15">
        <f t="shared" si="22"/>
        <v>1.0169565476072426</v>
      </c>
      <c r="N105" s="15">
        <f t="shared" si="22"/>
        <v>0.45057570722018458</v>
      </c>
      <c r="O105" s="15">
        <f t="shared" si="22"/>
        <v>-0.48004067107269954</v>
      </c>
      <c r="P105" s="15">
        <f t="shared" si="22"/>
        <v>2.40174951438591</v>
      </c>
      <c r="Q105" s="15">
        <f t="shared" si="22"/>
        <v>0.2978255371007672</v>
      </c>
      <c r="R105" s="15">
        <f t="shared" si="22"/>
        <v>0.88018083460307328</v>
      </c>
      <c r="S105" s="15">
        <f t="shared" si="22"/>
        <v>0.26075853544768801</v>
      </c>
      <c r="T105" s="15">
        <f t="shared" si="22"/>
        <v>-0.17971769858699804</v>
      </c>
      <c r="U105" s="15">
        <f t="shared" si="22"/>
        <v>0.34714171383272907</v>
      </c>
      <c r="V105" s="15">
        <f t="shared" si="22"/>
        <v>0.3186991448328107</v>
      </c>
      <c r="W105" s="28"/>
      <c r="X105" s="28"/>
      <c r="Y105" s="28"/>
      <c r="Z105" s="28"/>
      <c r="AA105" s="28"/>
      <c r="AB105" s="15"/>
      <c r="AC105" s="25" t="s">
        <v>108</v>
      </c>
      <c r="AD105" s="26">
        <f>(AD100*AD92)+(AD102*AD97)</f>
        <v>8.9595512721192608E-2</v>
      </c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5" t="s">
        <v>108</v>
      </c>
      <c r="AT105" s="26">
        <f>(AT100*AT92)+(AT102*AT97)</f>
        <v>0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>
        <v>-4006000</v>
      </c>
      <c r="F106" s="1">
        <v>-6701000</v>
      </c>
      <c r="G106" s="1">
        <v>-54960000</v>
      </c>
      <c r="H106" s="1">
        <v>-35660000</v>
      </c>
      <c r="I106" s="1">
        <v>104722000</v>
      </c>
      <c r="J106" s="1">
        <v>79428000</v>
      </c>
      <c r="K106" s="1">
        <v>92251000</v>
      </c>
      <c r="L106" s="1">
        <v>50423000</v>
      </c>
      <c r="M106" s="1">
        <v>101701000</v>
      </c>
      <c r="N106" s="1">
        <v>147525000</v>
      </c>
      <c r="O106" s="1">
        <v>76707000</v>
      </c>
      <c r="P106" s="1">
        <v>260938000</v>
      </c>
      <c r="Q106" s="1">
        <v>338652000</v>
      </c>
      <c r="R106" s="1">
        <v>636727000</v>
      </c>
      <c r="S106" s="1">
        <v>802759000</v>
      </c>
      <c r="T106" s="1">
        <v>658489000</v>
      </c>
      <c r="U106" s="1">
        <v>887078000</v>
      </c>
      <c r="V106" s="1">
        <f>V87+V93</f>
        <v>1169789000</v>
      </c>
      <c r="W106" s="30">
        <f>V106*(1+$AD$106)</f>
        <v>1237336884.3668094</v>
      </c>
      <c r="X106" s="30">
        <f t="shared" ref="X106:AA106" si="23">W106*(1+$AD$106)</f>
        <v>1308785229.9983697</v>
      </c>
      <c r="Y106" s="30">
        <f t="shared" si="23"/>
        <v>1384359263.7573791</v>
      </c>
      <c r="Z106" s="30">
        <f t="shared" si="23"/>
        <v>1464297217.9272377</v>
      </c>
      <c r="AA106" s="30">
        <f t="shared" si="23"/>
        <v>1548851081.1924844</v>
      </c>
      <c r="AB106" s="31" t="s">
        <v>145</v>
      </c>
      <c r="AC106" s="32" t="s">
        <v>146</v>
      </c>
      <c r="AD106" s="33">
        <f>(SUM(W4:AA4)/5)</f>
        <v>5.7743648099622513E-2</v>
      </c>
    </row>
    <row r="107" spans="1:46" ht="19" customHeight="1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31"/>
      <c r="X107" s="31"/>
      <c r="Y107" s="31"/>
      <c r="Z107" s="31"/>
      <c r="AA107" s="34">
        <f>AA106*(1+AD107)/(AD108-AD107)</f>
        <v>24577130691.331181</v>
      </c>
      <c r="AB107" s="35" t="s">
        <v>147</v>
      </c>
      <c r="AC107" s="36" t="s">
        <v>148</v>
      </c>
      <c r="AD107" s="37">
        <v>2.5000000000000001E-2</v>
      </c>
    </row>
    <row r="108" spans="1:46" ht="19" x14ac:dyDescent="0.25">
      <c r="W108" s="34">
        <f t="shared" ref="W108:Y108" si="24">W107+W106</f>
        <v>1237336884.3668094</v>
      </c>
      <c r="X108" s="34">
        <f t="shared" si="24"/>
        <v>1308785229.9983697</v>
      </c>
      <c r="Y108" s="34">
        <f t="shared" si="24"/>
        <v>1384359263.7573791</v>
      </c>
      <c r="Z108" s="34">
        <f>Z107+Z106</f>
        <v>1464297217.9272377</v>
      </c>
      <c r="AA108" s="34">
        <f>AA107+AA106</f>
        <v>26125981772.523666</v>
      </c>
      <c r="AB108" s="35" t="s">
        <v>143</v>
      </c>
      <c r="AC108" s="38" t="s">
        <v>149</v>
      </c>
      <c r="AD108" s="39">
        <f>AD105</f>
        <v>8.9595512721192608E-2</v>
      </c>
    </row>
    <row r="109" spans="1:46" ht="19" x14ac:dyDescent="0.25">
      <c r="W109" s="69" t="s">
        <v>150</v>
      </c>
      <c r="X109" s="70"/>
    </row>
    <row r="110" spans="1:46" ht="20" x14ac:dyDescent="0.25">
      <c r="W110" s="40" t="s">
        <v>151</v>
      </c>
      <c r="X110" s="41">
        <f>NPV(AD108,W108,X108,Y108,Z108,AA108)</f>
        <v>21358682120.840248</v>
      </c>
    </row>
    <row r="111" spans="1:46" ht="20" x14ac:dyDescent="0.25">
      <c r="W111" s="40" t="s">
        <v>152</v>
      </c>
      <c r="X111" s="41">
        <f>V40</f>
        <v>737877000</v>
      </c>
    </row>
    <row r="112" spans="1:46" ht="20" x14ac:dyDescent="0.25">
      <c r="W112" s="40" t="s">
        <v>139</v>
      </c>
      <c r="X112" s="41">
        <f>AD99</f>
        <v>1903176000</v>
      </c>
    </row>
    <row r="113" spans="23:24" ht="20" x14ac:dyDescent="0.25">
      <c r="W113" s="40" t="s">
        <v>153</v>
      </c>
      <c r="X113" s="41">
        <f>X110+X111-X112</f>
        <v>20193383120.840248</v>
      </c>
    </row>
    <row r="114" spans="23:24" ht="20" x14ac:dyDescent="0.25">
      <c r="W114" s="40" t="s">
        <v>154</v>
      </c>
      <c r="X114" s="47">
        <f>V34*(1+(5*AB16))</f>
        <v>43003211.19368273</v>
      </c>
    </row>
    <row r="115" spans="23:24" ht="20" x14ac:dyDescent="0.25">
      <c r="W115" s="42" t="s">
        <v>155</v>
      </c>
      <c r="X115" s="43">
        <f>X113/X114</f>
        <v>469.57849333369558</v>
      </c>
    </row>
    <row r="116" spans="23:24" ht="20" x14ac:dyDescent="0.25">
      <c r="W116" s="40" t="s">
        <v>156</v>
      </c>
      <c r="X116" s="58" cm="1">
        <f t="array" ref="X116">_FV(A1,"Price")</f>
        <v>412.2</v>
      </c>
    </row>
    <row r="117" spans="23:24" ht="20" x14ac:dyDescent="0.25">
      <c r="W117" s="44" t="s">
        <v>157</v>
      </c>
      <c r="X117" s="45">
        <f>X115/X116-1</f>
        <v>0.13920061458926636</v>
      </c>
    </row>
    <row r="118" spans="23:24" ht="20" x14ac:dyDescent="0.25">
      <c r="W118" s="44" t="s">
        <v>158</v>
      </c>
      <c r="X118" s="46" t="str">
        <f>IF(X115&gt;X116,"BUY","SELL")</f>
        <v>BUY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2023-05-31T04:10:55Z</dcterms:modified>
</cp:coreProperties>
</file>