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890BB50-1E68-C247-9B8E-2BAAF1B5DC5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I95" i="1" a="1"/>
  <c r="AI95" i="1" s="1"/>
  <c r="AI97" i="1" s="1"/>
  <c r="AI101" i="1" a="1"/>
  <c r="AI101" i="1" s="1"/>
  <c r="AJ102" i="1" s="1"/>
  <c r="AC106" i="1"/>
  <c r="AD106" i="1"/>
  <c r="AE106" i="1" s="1"/>
  <c r="AF106" i="1" s="1"/>
  <c r="AB106" i="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J4" i="1"/>
  <c r="AI4" i="1"/>
  <c r="AH4" i="1"/>
  <c r="AG4" i="1"/>
  <c r="AF4" i="1"/>
  <c r="AE4" i="1"/>
  <c r="AD4" i="1"/>
  <c r="AC4" i="1"/>
  <c r="AB4" i="1"/>
  <c r="AA9" i="1"/>
  <c r="AA13" i="1"/>
  <c r="AA20" i="1"/>
  <c r="AA29" i="1"/>
  <c r="AA35" i="1"/>
  <c r="AA80" i="1"/>
  <c r="AA89"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J16" i="1"/>
  <c r="AI16" i="1"/>
  <c r="AH16" i="1"/>
  <c r="AC108" i="1"/>
  <c r="AI92" i="1"/>
  <c r="AI103" i="1"/>
  <c r="AI102" i="1" s="1"/>
  <c r="AC112" i="1"/>
  <c r="AB108" i="1"/>
  <c r="AD108" i="1" l="1"/>
  <c r="AI100" i="1"/>
  <c r="AI105" i="1" s="1"/>
  <c r="AI108" i="1" s="1"/>
  <c r="AF107" i="1" l="1"/>
  <c r="AF108" i="1" s="1"/>
  <c r="AE108" i="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<sst xmlns="http://schemas.openxmlformats.org/spreadsheetml/2006/main" count="661" uniqueCount="162">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</sst>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0" fontId="12" fillId="4" borderId="0" xfId="0" applyNumberFormat="1" applyFont="1" applyFill="1"/>
    <xf numFmtId="0" fontId="1" fillId="7" borderId="6" xfId="0" applyFont="1" applyFill="1" applyBorder="1"/>
    <xf numFmtId="164" fontId="11" fillId="4" borderId="6" xfId="0" applyNumberFormat="1" applyFont="1" applyFill="1" applyBorder="1"/>
    <xf numFmtId="0" fontId="12" fillId="7" borderId="6" xfId="0" applyFont="1"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TSM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55293670653911E-2"/>
          <c:y val="0.11525455310452605"/>
          <c:w val="0.8465823103226906"/>
          <c:h val="0.745126525214882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63499</xdr:colOff>
      <xdr:row>108</xdr:row>
      <xdr:rowOff>41275</xdr:rowOff>
    </xdr:from>
    <xdr:to>
      <xdr:col>34</xdr:col>
      <xdr:colOff>1587499</xdr:colOff>
      <xdr:row>130</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574</v>
    <v>370</v>
    <v>1.3778999999999999</v>
    <v>-9</v>
    <v>-1.5901000000000002E-2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562</v>
    <v>Semiconductors &amp; Semiconductor Equipment</v>
    <v>Stock</v>
    <v>45077.159629629627</v>
    <v>0</v>
    <v>551</v>
    <v>14729420000000</v>
    <v>Taiwan Semiconductor Manufacturing Co., Ltd.</v>
    <v>Taiwan Semiconductor Manufacturing Co., Ltd.</v>
    <v>560</v>
    <v>14.15</v>
    <v>566</v>
    <v>557</v>
    <v>25932070000</v>
    <v>2330</v>
    <v>Taiwan Semiconductor Manufacturing Co., Ltd. (XTAI:2330)</v>
    <v>26438000</v>
    <v>44314050</v>
    <v>1987</v>
  </rv>
  <rv s="2">
    <v>1</v>
  </rv>
  <rv s="0">
    <v>https://www.bing.com/financeapi/forcetrigger?t=a24kjc&amp;q=XNYS%3aTSM&amp;form=skydnc</v>
    <v>Learn more on Bing</v>
  </rv>
  <rv s="3">
    <v>5</v>
    <v>Taiwan Semiconductor Manufacturing Co., Ltd. (XNYS:TSM)</v>
    <v>2</v>
    <v>6</v>
    <v>Finance</v>
    <v>7</v>
    <v>en-US</v>
    <v>a24kjc</v>
    <v>268435456</v>
    <v>1</v>
    <v>Powered by Refinitiv</v>
    <v>105.24</v>
    <v>59.43</v>
    <v>1.1049</v>
    <v>-1.23</v>
    <v>-1.1917000000000001E-2</v>
    <v>0.01</v>
    <v>9.8060000000000006E-5</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105.24</v>
    <v>Semiconductors &amp; Semiconductor Equipment</v>
    <v>Stock</v>
    <v>45076.999222128907</v>
    <v>3</v>
    <v>101.52500000000001</v>
    <v>480976300000</v>
    <v>Taiwan Semiconductor Manufacturing Co., Ltd.</v>
    <v>Taiwan Semiconductor Manufacturing Co., Ltd.</v>
    <v>103.79</v>
    <v>16.0105</v>
    <v>103.21</v>
    <v>101.98</v>
    <v>101.99</v>
    <v>5186414000</v>
    <v>TSM</v>
    <v>Taiwan Semiconductor Manufacturing Co., Ltd. (XNYS:TSM)</v>
    <v>25247959</v>
    <v>12116592</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94" activePane="bottomRight" state="frozen"/>
      <selection pane="topRight"/>
      <selection pane="bottomLeft"/>
      <selection pane="bottomRight" activeCell="AA117" sqref="AA117"/>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8">
        <v>2178980000000</v>
      </c>
      <c r="AC3" s="28">
        <v>2653248000000</v>
      </c>
      <c r="AD3" s="28">
        <v>3057300000000</v>
      </c>
      <c r="AE3" s="28">
        <v>3228981000000</v>
      </c>
      <c r="AF3" s="28">
        <v>3556781000000</v>
      </c>
      <c r="AG3" s="18" t="s">
        <v>109</v>
      </c>
      <c r="AH3" s="19" t="s">
        <v>110</v>
      </c>
      <c r="AI3" s="19" t="s">
        <v>111</v>
      </c>
      <c r="AJ3" s="19" t="s">
        <v>112</v>
      </c>
    </row>
    <row r="4" spans="1:36" ht="19" x14ac:dyDescent="0.25">
      <c r="A4" s="14" t="s">
        <v>94</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-3.7506788554757198E-2</v>
      </c>
      <c r="AC4" s="16">
        <f t="shared" si="0"/>
        <v>0.21765596747101856</v>
      </c>
      <c r="AD4" s="16">
        <f t="shared" si="0"/>
        <v>0.15228580215645127</v>
      </c>
      <c r="AE4" s="16">
        <f t="shared" si="0"/>
        <v>5.6154450004906264E-2</v>
      </c>
      <c r="AF4" s="16">
        <f t="shared" si="0"/>
        <v>0.10151809502750253</v>
      </c>
      <c r="AG4" s="17">
        <f>(AA4+Z4+Y4)/3</f>
        <v>0.28769971201158689</v>
      </c>
      <c r="AH4" s="17">
        <f>(AA20+Z20+Y20)/3</f>
        <v>0.33293441671453444</v>
      </c>
      <c r="AI4" s="17">
        <f>(AA29+Z29+Y29)/3</f>
        <v>0.43961966142045794</v>
      </c>
      <c r="AJ4" s="17">
        <f>(AA105+Z105+Y105)/3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113</v>
      </c>
      <c r="AH6" s="19" t="s">
        <v>114</v>
      </c>
      <c r="AI6" s="19" t="s">
        <v>115</v>
      </c>
      <c r="AJ6" s="19" t="s">
        <v>116</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AA106/AA3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95</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117</v>
      </c>
      <c r="AH12" s="19" t="s">
        <v>118</v>
      </c>
      <c r="AI12" s="19" t="s">
        <v>119</v>
      </c>
      <c r="AJ12" s="19" t="s">
        <v>120</v>
      </c>
    </row>
    <row r="13" spans="1:36" ht="19" x14ac:dyDescent="0.25">
      <c r="A13" s="14" t="s">
        <v>100</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92</v>
      </c>
      <c r="C14" s="1" t="s">
        <v>92</v>
      </c>
      <c r="D14" s="1" t="s">
        <v>92</v>
      </c>
      <c r="E14" s="1">
        <v>-33113</v>
      </c>
      <c r="F14" s="1">
        <v>276223816</v>
      </c>
      <c r="G14" s="1" t="s">
        <v>92</v>
      </c>
      <c r="H14" s="1" t="s">
        <v>92</v>
      </c>
      <c r="I14" s="1" t="s">
        <v>92</v>
      </c>
      <c r="J14" s="1" t="s">
        <v>92</v>
      </c>
      <c r="K14" s="1" t="s">
        <v>92</v>
      </c>
      <c r="L14" s="1" t="s">
        <v>92</v>
      </c>
      <c r="M14" s="1" t="s">
        <v>92</v>
      </c>
      <c r="N14" s="1" t="s">
        <v>92</v>
      </c>
      <c r="O14" s="1" t="s">
        <v>92</v>
      </c>
      <c r="P14" s="1" t="s">
        <v>92</v>
      </c>
      <c r="Q14" s="1" t="s">
        <v>92</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121</v>
      </c>
      <c r="AH15" s="19" t="s">
        <v>122</v>
      </c>
      <c r="AI15" s="19" t="s">
        <v>123</v>
      </c>
      <c r="AJ15" s="19" t="s">
        <v>124</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9">
        <f>(AA35+Z35+Y35+X35+W35)/5</f>
        <v>0</v>
      </c>
      <c r="AH16" s="30">
        <f>AI101/AA3</f>
        <v>6.5062399648118792</v>
      </c>
      <c r="AI16" s="30">
        <f>AI101/AA28</f>
        <v>14.489898371927346</v>
      </c>
      <c r="AJ16" s="31">
        <f>AI101/AA106</f>
        <v>28.272919282078664</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3"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125</v>
      </c>
    </row>
    <row r="19" spans="1:33"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G19" s="32">
        <f>AA40-AA56-AA61</f>
        <v>698325653000</v>
      </c>
    </row>
    <row r="20" spans="1:33" ht="19" customHeight="1" x14ac:dyDescent="0.25">
      <c r="A20" s="14" t="s">
        <v>101</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row>
    <row r="21" spans="1:33" ht="19"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row>
    <row r="22" spans="1:33"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row>
    <row r="23" spans="1:33"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3"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3"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3"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3"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3"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row>
    <row r="29" spans="1:33" ht="20" customHeight="1" thickTop="1" x14ac:dyDescent="0.25">
      <c r="A29" s="14" t="s">
        <v>102</v>
      </c>
      <c r="B29" s="1"/>
      <c r="C29" s="15">
        <f>(C28/B28)-1</f>
        <v>-0.14966835450247795</v>
      </c>
      <c r="D29" s="15">
        <f>(D28/C28)-1</f>
        <v>0.60375318125678379</v>
      </c>
      <c r="E29" s="15">
        <f>(E28/D28)-1</f>
        <v>1.6505763482233671</v>
      </c>
      <c r="F29" s="15">
        <f t="shared" ref="F29:AA29" si="4">(F28/E28)-1</f>
        <v>-0.77754519710175629</v>
      </c>
      <c r="G29" s="15">
        <f t="shared" si="4"/>
        <v>0.49469181690230646</v>
      </c>
      <c r="H29" s="15">
        <f t="shared" si="4"/>
        <v>1.1787192865798253</v>
      </c>
      <c r="I29" s="15">
        <f t="shared" si="4"/>
        <v>0.96028885468626801</v>
      </c>
      <c r="J29" s="15">
        <f t="shared" si="4"/>
        <v>1.5127391499761611E-2</v>
      </c>
      <c r="K29" s="15">
        <f t="shared" si="4"/>
        <v>0.35304556457092628</v>
      </c>
      <c r="L29" s="15">
        <f t="shared" si="4"/>
        <v>-0.14023707136660157</v>
      </c>
      <c r="M29" s="15">
        <f t="shared" si="4"/>
        <v>-8.2197840516261222E-2</v>
      </c>
      <c r="N29" s="15">
        <f t="shared" si="4"/>
        <v>-0.10966447969052595</v>
      </c>
      <c r="O29" s="15">
        <f t="shared" si="4"/>
        <v>0.81135378814541492</v>
      </c>
      <c r="P29" s="15">
        <f t="shared" si="4"/>
        <v>-0.16957210482348939</v>
      </c>
      <c r="Q29" s="15">
        <f t="shared" si="4"/>
        <v>0.23813107622653429</v>
      </c>
      <c r="R29" s="15">
        <f t="shared" si="4"/>
        <v>0.10723958044954585</v>
      </c>
      <c r="S29" s="15">
        <f t="shared" si="4"/>
        <v>0.3822410989163898</v>
      </c>
      <c r="T29" s="15">
        <f t="shared" si="4"/>
        <v>0.19091322344273376</v>
      </c>
      <c r="U29" s="15">
        <f t="shared" si="4"/>
        <v>9.5303662627385322E-2</v>
      </c>
      <c r="V29" s="15">
        <f t="shared" si="4"/>
        <v>4.0048391127650129E-2</v>
      </c>
      <c r="W29" s="15">
        <f t="shared" si="4"/>
        <v>5.2331852069995799E-2</v>
      </c>
      <c r="X29" s="15">
        <f t="shared" si="4"/>
        <v>-2.5078177355518871E-2</v>
      </c>
      <c r="Y29" s="15">
        <f t="shared" si="4"/>
        <v>0.44299162588854868</v>
      </c>
      <c r="Z29" s="15">
        <f t="shared" si="4"/>
        <v>0.15979668875209496</v>
      </c>
      <c r="AA29" s="15">
        <f t="shared" si="4"/>
        <v>0.71607066962073018</v>
      </c>
    </row>
    <row r="30" spans="1:33"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row>
    <row r="31" spans="1:33"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row>
    <row r="32" spans="1:33"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103</v>
      </c>
      <c r="B35" s="1"/>
      <c r="C35" s="22">
        <f>(C34-B34)/B34</f>
        <v>2.235835554819213E-2</v>
      </c>
      <c r="D35" s="22">
        <f t="shared" ref="D35:AA35" si="5">(D34-C34)/C34</f>
        <v>1.9190687958425219E-2</v>
      </c>
      <c r="E35" s="22">
        <f t="shared" si="5"/>
        <v>0.17444564279674479</v>
      </c>
      <c r="F35" s="22">
        <f t="shared" si="5"/>
        <v>9.3117177520547892E-2</v>
      </c>
      <c r="G35" s="22">
        <f t="shared" si="5"/>
        <v>-3.2012728384297459E-2</v>
      </c>
      <c r="H35" s="22">
        <f t="shared" si="5"/>
        <v>8.2016106525435086E-3</v>
      </c>
      <c r="I35" s="22">
        <f t="shared" si="5"/>
        <v>7.4816761976436051E-3</v>
      </c>
      <c r="J35" s="22">
        <f t="shared" si="5"/>
        <v>1.1273384332513008E-2</v>
      </c>
      <c r="K35" s="22">
        <f t="shared" si="5"/>
        <v>1.5010829560124976E-2</v>
      </c>
      <c r="L35" s="22">
        <f t="shared" si="5"/>
        <v>1.6421131627155354E-2</v>
      </c>
      <c r="M35" s="22">
        <f t="shared" si="5"/>
        <v>-1.4845807324330773E-2</v>
      </c>
      <c r="N35" s="22">
        <f t="shared" si="5"/>
        <v>-1.2333871918813036E-2</v>
      </c>
      <c r="O35" s="22">
        <f t="shared" si="5"/>
        <v>2.5048620216957092E-4</v>
      </c>
      <c r="P35" s="22">
        <f t="shared" si="5"/>
        <v>1.7700553092129989E-4</v>
      </c>
      <c r="Q35" s="22">
        <f t="shared" si="5"/>
        <v>1.2551745089872269E-4</v>
      </c>
      <c r="R35" s="22">
        <f t="shared" si="5"/>
        <v>6.4293586654950085E-5</v>
      </c>
      <c r="S35" s="22">
        <f t="shared" si="5"/>
        <v>1.932154533951021E-5</v>
      </c>
      <c r="T35" s="22">
        <f t="shared" si="5"/>
        <v>1.0643998959664797E-5</v>
      </c>
      <c r="U35" s="22">
        <f t="shared" si="5"/>
        <v>0</v>
      </c>
      <c r="V35" s="22">
        <f t="shared" si="5"/>
        <v>0</v>
      </c>
      <c r="W35" s="22">
        <f t="shared" si="5"/>
        <v>0</v>
      </c>
      <c r="X35" s="22">
        <f t="shared" si="5"/>
        <v>0</v>
      </c>
      <c r="Y35" s="22">
        <f t="shared" si="5"/>
        <v>0</v>
      </c>
      <c r="Z35" s="22">
        <f t="shared" si="5"/>
        <v>0</v>
      </c>
      <c r="AA35" s="22">
        <f t="shared" si="5"/>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92</v>
      </c>
      <c r="C46" s="1" t="s">
        <v>92</v>
      </c>
      <c r="D46" s="1" t="s">
        <v>92</v>
      </c>
      <c r="E46" s="1" t="s">
        <v>92</v>
      </c>
      <c r="F46" s="1" t="s">
        <v>92</v>
      </c>
      <c r="G46" s="1" t="s">
        <v>92</v>
      </c>
      <c r="H46" s="1" t="s">
        <v>92</v>
      </c>
      <c r="I46" s="1" t="s">
        <v>92</v>
      </c>
      <c r="J46" s="1" t="s">
        <v>92</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92</v>
      </c>
      <c r="C47" s="1" t="s">
        <v>92</v>
      </c>
      <c r="D47" s="1" t="s">
        <v>92</v>
      </c>
      <c r="E47" s="1" t="s">
        <v>92</v>
      </c>
      <c r="F47" s="1" t="s">
        <v>92</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92</v>
      </c>
      <c r="C48" s="1" t="s">
        <v>92</v>
      </c>
      <c r="D48" s="1" t="s">
        <v>92</v>
      </c>
      <c r="E48" s="1" t="s">
        <v>92</v>
      </c>
      <c r="F48" s="1" t="s">
        <v>92</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92</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789100000</v>
      </c>
      <c r="P62" s="1" t="s">
        <v>92</v>
      </c>
      <c r="Q62" s="1">
        <v>203900000</v>
      </c>
      <c r="R62" s="1">
        <v>151700000</v>
      </c>
      <c r="S62" s="1">
        <v>25538500000</v>
      </c>
      <c r="T62" s="1">
        <v>21564800000</v>
      </c>
      <c r="U62" s="1">
        <v>14670400000</v>
      </c>
      <c r="V62" s="1">
        <v>7586800000</v>
      </c>
      <c r="W62" s="1">
        <v>3353300000</v>
      </c>
      <c r="X62" s="1">
        <v>176900000</v>
      </c>
      <c r="Y62" s="1">
        <v>265600000</v>
      </c>
      <c r="Z62" s="1" t="s">
        <v>92</v>
      </c>
      <c r="AA62" s="1" t="s">
        <v>92</v>
      </c>
    </row>
    <row r="63" spans="1:2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92</v>
      </c>
      <c r="S70" s="1" t="s">
        <v>92</v>
      </c>
      <c r="T70" s="1" t="s">
        <v>92</v>
      </c>
      <c r="U70" s="1" t="s">
        <v>92</v>
      </c>
      <c r="V70" s="1" t="s">
        <v>92</v>
      </c>
      <c r="W70" s="1" t="s">
        <v>92</v>
      </c>
      <c r="X70" s="1">
        <v>321822000000</v>
      </c>
      <c r="Y70" s="1" t="s">
        <v>92</v>
      </c>
      <c r="Z70" s="1">
        <v>370451000000</v>
      </c>
      <c r="AA70" s="1" t="s">
        <v>92</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92</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92</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6200000</v>
      </c>
      <c r="R79" s="1">
        <v>5300000</v>
      </c>
      <c r="S79" s="1" t="s">
        <v>92</v>
      </c>
      <c r="T79" s="1" t="s">
        <v>92</v>
      </c>
      <c r="U79" s="1" t="s">
        <v>92</v>
      </c>
      <c r="V79" s="1" t="s">
        <v>92</v>
      </c>
      <c r="W79" s="1" t="s">
        <v>92</v>
      </c>
      <c r="X79" s="1">
        <v>2800000</v>
      </c>
      <c r="Y79" s="1">
        <v>6600000</v>
      </c>
      <c r="Z79" s="1">
        <v>7800000</v>
      </c>
      <c r="AA79" s="1">
        <v>302348000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1.2247552267417007E-5</v>
      </c>
      <c r="R80" s="15">
        <f t="shared" si="6"/>
        <v>8.8776728704849702E-6</v>
      </c>
      <c r="S80" s="15" t="e">
        <f t="shared" si="6"/>
        <v>#VALUE!</v>
      </c>
      <c r="T80" s="15" t="e">
        <f t="shared" si="6"/>
        <v>#VALUE!</v>
      </c>
      <c r="U80" s="15" t="e">
        <f t="shared" si="6"/>
        <v>#VALUE!</v>
      </c>
      <c r="V80" s="15" t="e">
        <f t="shared" si="6"/>
        <v>#VALUE!</v>
      </c>
      <c r="W80" s="15" t="e">
        <f t="shared" si="6"/>
        <v>#VALUE!</v>
      </c>
      <c r="X80" s="15">
        <f t="shared" si="6"/>
        <v>2.6168498212317735E-6</v>
      </c>
      <c r="Y80" s="15">
        <f t="shared" si="6"/>
        <v>4.9281737345513891E-6</v>
      </c>
      <c r="Z80" s="15">
        <f t="shared" si="6"/>
        <v>4.9136489197846811E-6</v>
      </c>
      <c r="AA80" s="15">
        <f t="shared" si="6"/>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92</v>
      </c>
      <c r="AA82" s="1" t="s">
        <v>92</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6" t="s">
        <v>126</v>
      </c>
      <c r="AI83" s="67"/>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68" t="s">
        <v>127</v>
      </c>
      <c r="AI84" s="69"/>
    </row>
    <row r="85" spans="1:35" ht="20" x14ac:dyDescent="0.25">
      <c r="A85" s="5" t="s">
        <v>71</v>
      </c>
      <c r="B85" s="1" t="s">
        <v>92</v>
      </c>
      <c r="C85" s="1" t="s">
        <v>92</v>
      </c>
      <c r="D85" s="1" t="s">
        <v>92</v>
      </c>
      <c r="E85" s="1" t="s">
        <v>92</v>
      </c>
      <c r="F85" s="1" t="s">
        <v>92</v>
      </c>
      <c r="G85" s="1" t="s">
        <v>92</v>
      </c>
      <c r="H85" s="1" t="s">
        <v>92</v>
      </c>
      <c r="I85" s="1" t="s">
        <v>92</v>
      </c>
      <c r="J85" s="1" t="s">
        <v>92</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23" t="s">
        <v>128</v>
      </c>
      <c r="AI85" s="24">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23" t="s">
        <v>129</v>
      </c>
      <c r="AI86" s="24">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23" t="s">
        <v>130</v>
      </c>
      <c r="AI87" s="24">
        <f>AA61</f>
        <v>868860583000</v>
      </c>
    </row>
    <row r="88" spans="1:35" ht="20" x14ac:dyDescent="0.25">
      <c r="A88" s="5" t="s">
        <v>74</v>
      </c>
      <c r="B88" s="1">
        <v>-28101494490</v>
      </c>
      <c r="C88" s="1">
        <v>-34594625338</v>
      </c>
      <c r="D88" s="1">
        <v>-29845997160</v>
      </c>
      <c r="E88" s="1">
        <v>-103761911814</v>
      </c>
      <c r="F88" s="1">
        <v>-68002457345</v>
      </c>
      <c r="G88" s="1">
        <v>-55331549901</v>
      </c>
      <c r="H88" s="1" t="s">
        <v>92</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3" t="s">
        <v>131</v>
      </c>
      <c r="AI88" s="34">
        <f>AI85/(AI86+AI87)</f>
        <v>1.3229364691760698E-2</v>
      </c>
    </row>
    <row r="89" spans="1:35" ht="20" customHeight="1" x14ac:dyDescent="0.25">
      <c r="A89" s="14" t="s">
        <v>105</v>
      </c>
      <c r="B89" s="15">
        <f t="shared" ref="B89:AA89" si="7">(-1*B88)/B3</f>
        <v>0.63790091269326898</v>
      </c>
      <c r="C89" s="15">
        <f t="shared" si="7"/>
        <v>0.68723199999999995</v>
      </c>
      <c r="D89" s="15">
        <f t="shared" si="7"/>
        <v>0.40842458153645816</v>
      </c>
      <c r="E89" s="15">
        <f t="shared" si="7"/>
        <v>0.6243285739816512</v>
      </c>
      <c r="F89" s="15">
        <f t="shared" si="7"/>
        <v>0.52226263053996025</v>
      </c>
      <c r="G89" s="15">
        <f t="shared" si="7"/>
        <v>0.34032700258264198</v>
      </c>
      <c r="H89" s="15" t="e">
        <f t="shared" si="7"/>
        <v>#VALUE!</v>
      </c>
      <c r="I89" s="15">
        <f t="shared" si="7"/>
        <v>0.31532972440944884</v>
      </c>
      <c r="J89" s="15">
        <f t="shared" si="7"/>
        <v>0.29965919808477887</v>
      </c>
      <c r="K89" s="15">
        <f t="shared" si="7"/>
        <v>0.24806456249871656</v>
      </c>
      <c r="L89" s="15">
        <f t="shared" si="7"/>
        <v>0.26036085842086748</v>
      </c>
      <c r="M89" s="15">
        <f t="shared" si="7"/>
        <v>0.17776510383889238</v>
      </c>
      <c r="N89" s="15">
        <f t="shared" si="7"/>
        <v>0.29682913023572555</v>
      </c>
      <c r="O89" s="15">
        <f t="shared" si="7"/>
        <v>0.44559549923856701</v>
      </c>
      <c r="P89" s="15">
        <f t="shared" si="7"/>
        <v>0.50098857218052051</v>
      </c>
      <c r="Q89" s="15">
        <f t="shared" si="7"/>
        <v>0.48622268894614951</v>
      </c>
      <c r="R89" s="15">
        <f t="shared" si="7"/>
        <v>0.4817306705004813</v>
      </c>
      <c r="S89" s="15">
        <f t="shared" si="7"/>
        <v>0.37824693413385596</v>
      </c>
      <c r="T89" s="15">
        <f t="shared" si="7"/>
        <v>0.30529103006772279</v>
      </c>
      <c r="U89" s="15">
        <f t="shared" si="7"/>
        <v>0.34692204696399193</v>
      </c>
      <c r="V89" s="15">
        <f t="shared" si="7"/>
        <v>0.33905612462563017</v>
      </c>
      <c r="W89" s="15">
        <f t="shared" si="7"/>
        <v>0.30598563956896602</v>
      </c>
      <c r="X89" s="15">
        <f t="shared" si="7"/>
        <v>0.43030562562897856</v>
      </c>
      <c r="Y89" s="15">
        <f t="shared" si="7"/>
        <v>0.38225611046874775</v>
      </c>
      <c r="Z89" s="15">
        <f t="shared" si="7"/>
        <v>0.52941146455085786</v>
      </c>
      <c r="AA89" s="15">
        <f t="shared" si="7"/>
        <v>0.47823503444086751</v>
      </c>
      <c r="AH89" s="23" t="s">
        <v>106</v>
      </c>
      <c r="AI89" s="24">
        <f>AA27</f>
        <v>127290203000</v>
      </c>
    </row>
    <row r="90" spans="1:35" ht="20" x14ac:dyDescent="0.25">
      <c r="A90" s="5" t="s">
        <v>75</v>
      </c>
      <c r="B90" s="1" t="s">
        <v>92</v>
      </c>
      <c r="C90" s="1" t="s">
        <v>92</v>
      </c>
      <c r="D90" s="1" t="s">
        <v>92</v>
      </c>
      <c r="E90" s="1" t="s">
        <v>92</v>
      </c>
      <c r="F90" s="1" t="s">
        <v>92</v>
      </c>
      <c r="G90" s="1" t="s">
        <v>92</v>
      </c>
      <c r="H90" s="1">
        <v>-37792872180</v>
      </c>
      <c r="I90" s="1" t="s">
        <v>92</v>
      </c>
      <c r="J90" s="1" t="s">
        <v>92</v>
      </c>
      <c r="K90" s="1" t="s">
        <v>92</v>
      </c>
      <c r="L90" s="1" t="s">
        <v>92</v>
      </c>
      <c r="M90" s="1" t="s">
        <v>92</v>
      </c>
      <c r="N90" s="1" t="s">
        <v>92</v>
      </c>
      <c r="O90" s="1">
        <v>-6242400000</v>
      </c>
      <c r="P90" s="1" t="s">
        <v>92</v>
      </c>
      <c r="Q90" s="1" t="s">
        <v>92</v>
      </c>
      <c r="R90" s="1">
        <v>-979900000</v>
      </c>
      <c r="S90" s="1" t="s">
        <v>92</v>
      </c>
      <c r="T90" s="1">
        <v>549400000</v>
      </c>
      <c r="U90" s="1" t="s">
        <v>92</v>
      </c>
      <c r="V90" s="1">
        <v>-4100000</v>
      </c>
      <c r="W90" s="1" t="s">
        <v>92</v>
      </c>
      <c r="X90" s="1" t="s">
        <v>92</v>
      </c>
      <c r="Y90" s="1" t="s">
        <v>92</v>
      </c>
      <c r="Z90" s="1" t="s">
        <v>92</v>
      </c>
      <c r="AA90" s="1" t="s">
        <v>92</v>
      </c>
      <c r="AH90" s="23" t="s">
        <v>19</v>
      </c>
      <c r="AI90" s="24">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3" t="s">
        <v>132</v>
      </c>
      <c r="AI91" s="34">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5" t="s">
        <v>133</v>
      </c>
      <c r="AI92" s="36">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68" t="s">
        <v>134</v>
      </c>
      <c r="AI93" s="69"/>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8" t="s">
        <v>136</v>
      </c>
      <c r="AI95" s="39" cm="1">
        <f t="array" ref="AI95">_FV(A1,"Beta")</f>
        <v>1.3778999999999999</v>
      </c>
    </row>
    <row r="96" spans="1:35" ht="20" x14ac:dyDescent="0.25">
      <c r="A96" s="5" t="s">
        <v>81</v>
      </c>
      <c r="B96" s="1" t="s">
        <v>92</v>
      </c>
      <c r="C96" s="1" t="s">
        <v>92</v>
      </c>
      <c r="D96" s="1" t="s">
        <v>92</v>
      </c>
      <c r="E96" s="1">
        <v>39204533131</v>
      </c>
      <c r="F96" s="1" t="s">
        <v>92</v>
      </c>
      <c r="G96" s="1" t="s">
        <v>92</v>
      </c>
      <c r="H96" s="1" t="s">
        <v>92</v>
      </c>
      <c r="I96" s="1" t="s">
        <v>92</v>
      </c>
      <c r="J96" s="1">
        <v>1173895845</v>
      </c>
      <c r="K96" s="1">
        <v>573495472</v>
      </c>
      <c r="L96" s="1">
        <v>437828355</v>
      </c>
      <c r="M96" s="1">
        <v>226660515</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6" ht="20" x14ac:dyDescent="0.25">
      <c r="A97" s="5" t="s">
        <v>82</v>
      </c>
      <c r="B97" s="1" t="s">
        <v>92</v>
      </c>
      <c r="C97" s="1" t="s">
        <v>92</v>
      </c>
      <c r="D97" s="1" t="s">
        <v>92</v>
      </c>
      <c r="E97" s="1" t="s">
        <v>92</v>
      </c>
      <c r="F97" s="1" t="s">
        <v>92</v>
      </c>
      <c r="G97" s="1" t="s">
        <v>92</v>
      </c>
      <c r="H97" s="1">
        <v>-12971138520</v>
      </c>
      <c r="I97" s="1">
        <v>-7068145560</v>
      </c>
      <c r="J97" s="1" t="s">
        <v>92</v>
      </c>
      <c r="K97" s="1" t="s">
        <v>92</v>
      </c>
      <c r="L97" s="1">
        <v>-45417394692</v>
      </c>
      <c r="M97" s="1">
        <v>-33572035700</v>
      </c>
      <c r="N97" s="1" t="s">
        <v>92</v>
      </c>
      <c r="O97" s="1" t="s">
        <v>92</v>
      </c>
      <c r="P97" s="1">
        <v>-71600000</v>
      </c>
      <c r="Q97" s="1" t="s">
        <v>92</v>
      </c>
      <c r="R97" s="1" t="s">
        <v>92</v>
      </c>
      <c r="S97" s="1" t="s">
        <v>92</v>
      </c>
      <c r="T97" s="1" t="s">
        <v>92</v>
      </c>
      <c r="U97" s="1" t="s">
        <v>92</v>
      </c>
      <c r="V97" s="1" t="s">
        <v>92</v>
      </c>
      <c r="W97" s="1" t="s">
        <v>92</v>
      </c>
      <c r="X97" s="1" t="s">
        <v>92</v>
      </c>
      <c r="Y97" s="1" t="s">
        <v>92</v>
      </c>
      <c r="Z97" s="1" t="s">
        <v>92</v>
      </c>
      <c r="AA97" s="1">
        <v>-871566000</v>
      </c>
      <c r="AH97" s="35" t="s">
        <v>138</v>
      </c>
      <c r="AI97" s="36">
        <f>(AI94)+((AI95)*(AI96-AI94))</f>
        <v>0.100268595</v>
      </c>
    </row>
    <row r="98" spans="1:36" ht="19" x14ac:dyDescent="0.25">
      <c r="A98" s="5" t="s">
        <v>83</v>
      </c>
      <c r="B98" s="1" t="s">
        <v>92</v>
      </c>
      <c r="C98" s="1" t="s">
        <v>92</v>
      </c>
      <c r="D98" s="1" t="s">
        <v>92</v>
      </c>
      <c r="E98" s="1" t="s">
        <v>92</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68" t="s">
        <v>139</v>
      </c>
      <c r="AI98" s="69"/>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23" t="s">
        <v>140</v>
      </c>
      <c r="AI99" s="24">
        <f>AI86+AI87</f>
        <v>888174472000</v>
      </c>
      <c r="AJ99" s="63" t="s">
        <v>158</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3" t="s">
        <v>141</v>
      </c>
      <c r="AI100" s="34">
        <f>AI99/AI103</f>
        <v>5.6870120017033565E-2</v>
      </c>
      <c r="AJ100" s="61">
        <v>3.3000000000000002E-2</v>
      </c>
    </row>
    <row r="101" spans="1:36" ht="20" x14ac:dyDescent="0.25">
      <c r="A101" s="5" t="s">
        <v>86</v>
      </c>
      <c r="B101" s="1" t="s">
        <v>92</v>
      </c>
      <c r="C101" s="1">
        <v>-657227004</v>
      </c>
      <c r="D101" s="1" t="s">
        <v>92</v>
      </c>
      <c r="E101" s="1">
        <v>118576149</v>
      </c>
      <c r="F101" s="1" t="s">
        <v>92</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8" t="s">
        <v>142</v>
      </c>
      <c r="AI101" s="40" cm="1">
        <f t="array" ref="AI101">_FV(A1,"Market cap",TRUE)</f>
        <v>14729420000000</v>
      </c>
      <c r="AJ101" s="63" t="s">
        <v>159</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3" t="s">
        <v>143</v>
      </c>
      <c r="AI102" s="60">
        <f>AI101/AI103</f>
        <v>0.94312987998296638</v>
      </c>
      <c r="AJ102" s="62">
        <f>AI101*AJ100</f>
        <v>486070860000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5" t="s">
        <v>144</v>
      </c>
      <c r="AI103" s="41">
        <f>AI99+AI101</f>
        <v>15617594472000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68" t="s">
        <v>145</v>
      </c>
      <c r="AI104" s="69"/>
    </row>
    <row r="105" spans="1:36" ht="21" thickTop="1" x14ac:dyDescent="0.25">
      <c r="A105" s="14" t="s">
        <v>107</v>
      </c>
      <c r="B105" s="1"/>
      <c r="C105" s="15">
        <f>(C106/B106)-1</f>
        <v>-0.66023844690773537</v>
      </c>
      <c r="D105" s="15">
        <f>(D106/C106)-1</f>
        <v>-4.716021352464761</v>
      </c>
      <c r="E105" s="15">
        <f>(E106/D106)-1</f>
        <v>-2.0633066879522239</v>
      </c>
      <c r="F105" s="15">
        <f>(F106/E106)-1</f>
        <v>-1.3540175301892403</v>
      </c>
      <c r="G105" s="15">
        <f>(G106/F106)-1</f>
        <v>10.830968261796651</v>
      </c>
      <c r="H105" s="15">
        <f t="shared" ref="H105:AA105" si="8">(H106/G106)-1</f>
        <v>1.6720148824889343</v>
      </c>
      <c r="I105" s="15">
        <f t="shared" si="8"/>
        <v>-0.37688644544148509</v>
      </c>
      <c r="J105" s="15">
        <f t="shared" si="8"/>
        <v>7.1969148897544022E-2</v>
      </c>
      <c r="K105" s="15">
        <f t="shared" si="8"/>
        <v>0.63174925618738054</v>
      </c>
      <c r="L105" s="15">
        <f t="shared" si="8"/>
        <v>-0.20966073965313869</v>
      </c>
      <c r="M105" s="15">
        <f t="shared" si="8"/>
        <v>0.63082925717436633</v>
      </c>
      <c r="N105" s="15">
        <f t="shared" si="8"/>
        <v>-0.55638676946104537</v>
      </c>
      <c r="O105" s="15">
        <f t="shared" si="8"/>
        <v>-0.41076868726751314</v>
      </c>
      <c r="P105" s="15">
        <f t="shared" si="8"/>
        <v>-0.20942311128666691</v>
      </c>
      <c r="Q105" s="15">
        <f t="shared" si="8"/>
        <v>0.27664054484081557</v>
      </c>
      <c r="R105" s="15">
        <f t="shared" si="8"/>
        <v>0.32874641246412462</v>
      </c>
      <c r="S105" s="15">
        <f t="shared" si="8"/>
        <v>1.2638157168078292</v>
      </c>
      <c r="T105" s="15">
        <f t="shared" si="8"/>
        <v>1.0761305781565347</v>
      </c>
      <c r="U105" s="15">
        <f t="shared" si="8"/>
        <v>-0.2288051978765937</v>
      </c>
      <c r="V105" s="15">
        <f t="shared" si="8"/>
        <v>0.20648454176217679</v>
      </c>
      <c r="W105" s="15">
        <f t="shared" si="8"/>
        <v>7.3864499696707497E-3</v>
      </c>
      <c r="X105" s="15">
        <f t="shared" si="8"/>
        <v>-0.4213977596398486</v>
      </c>
      <c r="Y105" s="15">
        <f t="shared" si="8"/>
        <v>1.0716606619867304</v>
      </c>
      <c r="Z105" s="15">
        <f t="shared" si="8"/>
        <v>-0.12771733085606274</v>
      </c>
      <c r="AA105" s="15">
        <f t="shared" si="8"/>
        <v>0.98296363145700649</v>
      </c>
      <c r="AB105" s="15"/>
      <c r="AC105" s="15"/>
      <c r="AD105" s="15"/>
      <c r="AE105" s="15"/>
      <c r="AF105" s="15"/>
      <c r="AG105" s="15"/>
      <c r="AH105" s="25" t="s">
        <v>108</v>
      </c>
      <c r="AI105" s="26">
        <f>(AI100*AI92)+(AI102*AI97)</f>
        <v>9.5234964637376018E-2</v>
      </c>
    </row>
    <row r="106" spans="1:36" ht="19" x14ac:dyDescent="0.25">
      <c r="A106" s="5" t="s">
        <v>90</v>
      </c>
      <c r="B106" s="1">
        <v>-7709062103</v>
      </c>
      <c r="C106" s="1">
        <v>-2619242913</v>
      </c>
      <c r="D106" s="1">
        <v>9733162592</v>
      </c>
      <c r="E106" s="1">
        <v>-10349336879</v>
      </c>
      <c r="F106" s="1">
        <v>3663846681</v>
      </c>
      <c r="G106" s="1">
        <v>43346853799</v>
      </c>
      <c r="H106" s="1">
        <v>115823438460</v>
      </c>
      <c r="I106" s="1">
        <v>72171154440</v>
      </c>
      <c r="J106" s="1">
        <v>77365251000</v>
      </c>
      <c r="K106" s="1">
        <v>126240690774</v>
      </c>
      <c r="L106" s="1">
        <v>99772974172</v>
      </c>
      <c r="M106" s="1">
        <v>162712685355</v>
      </c>
      <c r="N106" s="1">
        <v>72181500000</v>
      </c>
      <c r="O106" s="1">
        <v>42531600000</v>
      </c>
      <c r="P106" s="1">
        <v>33624500000</v>
      </c>
      <c r="Q106" s="1">
        <v>42926400000</v>
      </c>
      <c r="R106" s="1">
        <v>57038300000</v>
      </c>
      <c r="S106" s="1">
        <v>129124200000</v>
      </c>
      <c r="T106" s="1">
        <v>268078700000</v>
      </c>
      <c r="U106" s="1">
        <v>206740900000</v>
      </c>
      <c r="V106" s="1">
        <v>249429700000</v>
      </c>
      <c r="W106" s="1">
        <v>251272100000</v>
      </c>
      <c r="X106" s="1">
        <v>145386600000</v>
      </c>
      <c r="Y106" s="1">
        <v>301191700000</v>
      </c>
      <c r="Z106" s="1">
        <v>262724300000</v>
      </c>
      <c r="AA106" s="1">
        <v>520972732000</v>
      </c>
      <c r="AB106" s="42">
        <f>AA106*(1+$AI$106)</f>
        <v>572039263369.74927</v>
      </c>
      <c r="AC106" s="42">
        <f t="shared" ref="AC106:AF106" si="9">AB106*(1+$AI$106)</f>
        <v>628111413010.77808</v>
      </c>
      <c r="AD106" s="42">
        <f t="shared" si="9"/>
        <v>689679839160.599</v>
      </c>
      <c r="AE106" s="42">
        <f t="shared" si="9"/>
        <v>757283295115.71484</v>
      </c>
      <c r="AF106" s="42">
        <f t="shared" si="9"/>
        <v>831513343581.69434</v>
      </c>
      <c r="AG106" s="43" t="s">
        <v>146</v>
      </c>
      <c r="AH106" s="44" t="s">
        <v>147</v>
      </c>
      <c r="AI106" s="45">
        <f>(SUM(AB4:AF4)/5)</f>
        <v>9.8021505221024291E-2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11273263894537.389</v>
      </c>
      <c r="AG107" s="47" t="s">
        <v>148</v>
      </c>
      <c r="AH107" s="48" t="s">
        <v>149</v>
      </c>
      <c r="AI107" s="49">
        <v>0.02</v>
      </c>
    </row>
    <row r="108" spans="1:36" ht="19" x14ac:dyDescent="0.25">
      <c r="AB108" s="46">
        <f t="shared" ref="AB108:AD108" si="10">AB107+AB106</f>
        <v>572039263369.74927</v>
      </c>
      <c r="AC108" s="46">
        <f t="shared" si="10"/>
        <v>628111413010.77808</v>
      </c>
      <c r="AD108" s="46">
        <f t="shared" si="10"/>
        <v>689679839160.599</v>
      </c>
      <c r="AE108" s="46">
        <f>AE107+AE106</f>
        <v>757283295115.71484</v>
      </c>
      <c r="AF108" s="46">
        <f>AF107+AF106</f>
        <v>12104777238119.082</v>
      </c>
      <c r="AG108" s="47" t="s">
        <v>144</v>
      </c>
      <c r="AH108" s="50" t="s">
        <v>150</v>
      </c>
      <c r="AI108" s="51">
        <f>AI105</f>
        <v>9.5234964637376018E-2</v>
      </c>
    </row>
    <row r="109" spans="1:36" ht="19" x14ac:dyDescent="0.25">
      <c r="AB109" s="64" t="s">
        <v>151</v>
      </c>
      <c r="AC109" s="65"/>
    </row>
    <row r="110" spans="1:36" ht="20" x14ac:dyDescent="0.25">
      <c r="AB110" s="52" t="s">
        <v>152</v>
      </c>
      <c r="AC110" s="40">
        <f>NPV(AI108,AB108,AC108,AD108,AE108,AF108)</f>
        <v>9778224360296.5977</v>
      </c>
    </row>
    <row r="111" spans="1:36" ht="20" x14ac:dyDescent="0.25">
      <c r="AB111" s="52" t="s">
        <v>153</v>
      </c>
      <c r="AC111" s="40">
        <f>AA40</f>
        <v>1586500125000</v>
      </c>
    </row>
    <row r="112" spans="1:36" ht="20" x14ac:dyDescent="0.25">
      <c r="AB112" s="52" t="s">
        <v>140</v>
      </c>
      <c r="AC112" s="40">
        <f>AI99</f>
        <v>888174472000</v>
      </c>
    </row>
    <row r="113" spans="28:29" ht="20" x14ac:dyDescent="0.25">
      <c r="AB113" s="52" t="s">
        <v>154</v>
      </c>
      <c r="AC113" s="40">
        <f>AC110+AC111-AC112</f>
        <v>10476550013296.598</v>
      </c>
    </row>
    <row r="114" spans="28:29" ht="20" x14ac:dyDescent="0.25">
      <c r="AB114" s="52" t="s">
        <v>155</v>
      </c>
      <c r="AC114" s="53">
        <f>AA34*(1+(5*AG16))</f>
        <v>5186076000</v>
      </c>
    </row>
    <row r="115" spans="28:29" ht="20" x14ac:dyDescent="0.25">
      <c r="AB115" s="54" t="s">
        <v>161</v>
      </c>
      <c r="AC115" s="55">
        <f>AC113/AC114*AJ100</f>
        <v>66.664304657083264</v>
      </c>
    </row>
    <row r="116" spans="28:29" ht="20" x14ac:dyDescent="0.25">
      <c r="AB116" s="52" t="s">
        <v>160</v>
      </c>
      <c r="AC116" s="56" cm="1">
        <f t="array" ref="AC116">_FV(AJ98,"Price")</f>
        <v>101.98</v>
      </c>
    </row>
    <row r="117" spans="28:29" ht="20" x14ac:dyDescent="0.25">
      <c r="AB117" s="57" t="s">
        <v>156</v>
      </c>
      <c r="AC117" s="58">
        <f>AC115/AC116-1</f>
        <v>-0.34630020928531813</v>
      </c>
    </row>
    <row r="118" spans="28:29" ht="20" x14ac:dyDescent="0.25">
      <c r="AB118" s="57" t="s">
        <v>157</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2023-05-31T04:09:59Z</dcterms:modified>
</cp:coreProperties>
</file>