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824FE04-5F90-5546-8F26-D196032AEC1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 i="1" l="1"/>
  <c r="L29" i="1"/>
  <c r="M29" i="1"/>
  <c r="N29" i="1"/>
  <c r="O29" i="1"/>
  <c r="K30" i="1"/>
  <c r="L30" i="1"/>
  <c r="M30" i="1"/>
  <c r="N30" i="1"/>
  <c r="O30" i="1"/>
  <c r="K20" i="1"/>
  <c r="L20" i="1"/>
  <c r="M20" i="1"/>
  <c r="N20" i="1"/>
  <c r="O20" i="1"/>
  <c r="K21" i="1"/>
  <c r="L21" i="1"/>
  <c r="M21" i="1"/>
  <c r="N21" i="1"/>
  <c r="O21" i="1"/>
  <c r="L116" i="1" a="1"/>
  <c r="L116" i="1" s="1"/>
  <c r="R101" i="1" a="1"/>
  <c r="R101" i="1" s="1"/>
  <c r="R19" i="1" s="1"/>
  <c r="R95" i="1" a="1"/>
  <c r="R95" i="1" s="1"/>
  <c r="R97" i="1" s="1"/>
  <c r="L111" i="1"/>
  <c r="R90" i="1"/>
  <c r="R89" i="1"/>
  <c r="R91" i="1" s="1"/>
  <c r="R87" i="1"/>
  <c r="R86" i="1"/>
  <c r="R99" i="1" s="1"/>
  <c r="R85" i="1"/>
  <c r="R88" i="1" s="1"/>
  <c r="R92" i="1" s="1"/>
  <c r="P19" i="1"/>
  <c r="P16" i="1"/>
  <c r="L114" i="1" s="1"/>
  <c r="S13" i="1"/>
  <c r="R13" i="1"/>
  <c r="Q13" i="1"/>
  <c r="P13" i="1"/>
  <c r="S10" i="1"/>
  <c r="R10" i="1"/>
  <c r="Q10" i="1"/>
  <c r="P10" i="1"/>
  <c r="S7" i="1"/>
  <c r="R7" i="1"/>
  <c r="Q7" i="1"/>
  <c r="P7" i="1"/>
  <c r="S4" i="1"/>
  <c r="R4" i="1"/>
  <c r="Q4" i="1"/>
  <c r="P4" i="1"/>
  <c r="O4" i="1"/>
  <c r="N4" i="1"/>
  <c r="M4" i="1"/>
  <c r="L4" i="1"/>
  <c r="K4" i="1"/>
  <c r="J77" i="1"/>
  <c r="J76" i="1"/>
  <c r="J73" i="1"/>
  <c r="J67" i="1"/>
  <c r="J65" i="1"/>
  <c r="J30" i="1"/>
  <c r="J26" i="1"/>
  <c r="J25" i="1"/>
  <c r="J23" i="1"/>
  <c r="J21" i="1"/>
  <c r="J7" i="1"/>
  <c r="J6" i="1"/>
  <c r="Q19" i="1" l="1"/>
  <c r="R106" i="1"/>
  <c r="K106" i="1" s="1"/>
  <c r="S16" i="1"/>
  <c r="Q16" i="1"/>
  <c r="R16" i="1"/>
  <c r="R103" i="1"/>
  <c r="R100" i="1" s="1"/>
  <c r="L112" i="1"/>
  <c r="L106" i="1" l="1"/>
  <c r="K108" i="1"/>
  <c r="R102" i="1"/>
  <c r="R105" i="1" s="1"/>
  <c r="R108" i="1" s="1"/>
  <c r="M106" i="1" l="1"/>
  <c r="L108" i="1"/>
  <c r="N106" i="1" l="1"/>
  <c r="M108" i="1"/>
  <c r="J105" i="1"/>
  <c r="I105" i="1"/>
  <c r="H105" i="1"/>
  <c r="G105" i="1"/>
  <c r="F105" i="1"/>
  <c r="E105" i="1"/>
  <c r="D105" i="1"/>
  <c r="C105"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O106" i="1" l="1"/>
  <c r="O107" i="1" s="1"/>
  <c r="O108" i="1" s="1"/>
  <c r="N108" i="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<sst xmlns="http://schemas.openxmlformats.org/spreadsheetml/2006/main" count="393" uniqueCount="162">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</sst>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574750830564787E-2"/>
          <c:y val="0.11602246293119681"/>
          <c:w val="0.85928239202657819"/>
          <c:h val="0.74497137833233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100703691108377"/>
          <c:y val="0.92586406153399092"/>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33338</xdr:rowOff>
    </xdr:from>
    <xdr:to>
      <xdr:col>17</xdr:col>
      <xdr:colOff>1571625</xdr:colOff>
      <xdr:row>132</xdr:row>
      <xdr:rowOff>15875</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1148</v>
    <v>1.3306</v>
    <v>13.6</v>
    <v>9.0840000000000001E-3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1530.6</v>
    <v>Financial Technology (Fintech) &amp; Infrastructure</v>
    <v>Stock</v>
    <v>45076.666666666664</v>
    <v>0</v>
    <v>1492</v>
    <v>46414750000</v>
    <v>Adyen NV</v>
    <v>Adyen NV</v>
    <v>1505</v>
    <v>82.955799999999996</v>
    <v>1497.2</v>
    <v>1510.8</v>
    <v>31001030</v>
    <v>ADYEN</v>
    <v>Adyen NV (XAMS:ADYEN)</v>
    <v>46904</v>
    <v>54840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total_rev"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89" activePane="bottomRight" state="frozen"/>
      <selection pane="topRight"/>
      <selection pane="bottomLeft"/>
      <selection pane="bottomRight" activeCell="M100" sqref="M100"/>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9">
        <v>11600000000</v>
      </c>
      <c r="L3" s="29">
        <v>14500000000</v>
      </c>
      <c r="M3" s="29">
        <v>17800000000</v>
      </c>
      <c r="N3" s="29">
        <v>21000000000</v>
      </c>
      <c r="O3" s="29">
        <v>23500000000</v>
      </c>
      <c r="P3" s="19" t="s">
        <v>109</v>
      </c>
      <c r="Q3" s="20" t="s">
        <v>110</v>
      </c>
      <c r="R3" s="20" t="s">
        <v>111</v>
      </c>
      <c r="S3" s="20" t="s">
        <v>112</v>
      </c>
    </row>
    <row r="4" spans="1:38" ht="19" x14ac:dyDescent="0.25">
      <c r="A4" s="14" t="s">
        <v>94</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(J105+I105+H105)/3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113</v>
      </c>
      <c r="Q6" s="20" t="s">
        <v>114</v>
      </c>
      <c r="R6" s="20" t="s">
        <v>115</v>
      </c>
      <c r="S6" s="20" t="s">
        <v>116</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J106/J3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95</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96</v>
      </c>
      <c r="Q9" s="20" t="s">
        <v>97</v>
      </c>
      <c r="R9" s="20" t="s">
        <v>98</v>
      </c>
      <c r="S9" s="20" t="s">
        <v>99</v>
      </c>
    </row>
    <row r="10" spans="1:38" ht="19" x14ac:dyDescent="0.25">
      <c r="A10" s="5" t="s">
        <v>6</v>
      </c>
      <c r="B10" s="1">
        <v>2838000</v>
      </c>
      <c r="C10" s="1">
        <v>332000</v>
      </c>
      <c r="D10" s="1">
        <v>393000</v>
      </c>
      <c r="E10" s="1">
        <v>908000</v>
      </c>
      <c r="F10" s="1" t="s">
        <v>92</v>
      </c>
      <c r="G10" s="1" t="s">
        <v>92</v>
      </c>
      <c r="H10" s="1" t="s">
        <v>92</v>
      </c>
      <c r="I10" s="1" t="s">
        <v>92</v>
      </c>
      <c r="J10" s="1" t="s">
        <v>92</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117</v>
      </c>
      <c r="Q12" s="20" t="s">
        <v>118</v>
      </c>
      <c r="R12" s="20" t="s">
        <v>119</v>
      </c>
      <c r="S12" s="20" t="s">
        <v>120</v>
      </c>
    </row>
    <row r="13" spans="1:38" ht="19" x14ac:dyDescent="0.25">
      <c r="A13" s="14" t="s">
        <v>100</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121</v>
      </c>
      <c r="Q15" s="20" t="s">
        <v>122</v>
      </c>
      <c r="R15" s="20" t="s">
        <v>123</v>
      </c>
      <c r="S15" s="20" t="s">
        <v>124</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30">
        <f>(J35+I35+H35+G35+F35)/5</f>
        <v>2.567905561326001E-3</v>
      </c>
      <c r="Q16" s="63">
        <f>R101/J3</f>
        <v>5.1943275377165721</v>
      </c>
      <c r="R16" s="63">
        <f>R101/J28</f>
        <v>82.275378940296633</v>
      </c>
      <c r="S16" s="64">
        <f>R101/J106</f>
        <v>23.218984492246122</v>
      </c>
    </row>
    <row r="17" spans="1:18" ht="19" x14ac:dyDescent="0.25">
      <c r="A17" s="5" t="s">
        <v>12</v>
      </c>
      <c r="B17" s="1">
        <v>1000</v>
      </c>
      <c r="C17" s="1">
        <v>8000</v>
      </c>
      <c r="D17" s="1">
        <v>236000</v>
      </c>
      <c r="E17" s="1">
        <v>775000</v>
      </c>
      <c r="F17" s="1">
        <v>1516000</v>
      </c>
      <c r="G17" s="1">
        <v>4633000</v>
      </c>
      <c r="H17" s="1">
        <v>9406000</v>
      </c>
      <c r="I17" s="1">
        <v>12788000</v>
      </c>
      <c r="J17" s="1">
        <v>11963000</v>
      </c>
    </row>
    <row r="18" spans="1:18" ht="20" x14ac:dyDescent="0.25">
      <c r="A18" s="5" t="s">
        <v>13</v>
      </c>
      <c r="B18" s="1">
        <v>1056000</v>
      </c>
      <c r="C18" s="1">
        <v>2218000</v>
      </c>
      <c r="D18" s="1">
        <v>4136000</v>
      </c>
      <c r="E18" s="1">
        <v>5936000</v>
      </c>
      <c r="F18" s="1">
        <v>8736000</v>
      </c>
      <c r="G18" s="1">
        <v>22326000</v>
      </c>
      <c r="H18" s="1">
        <v>28567000</v>
      </c>
      <c r="I18" s="1">
        <v>35011000</v>
      </c>
      <c r="J18" s="1">
        <v>63613000</v>
      </c>
      <c r="P18" s="19" t="s">
        <v>125</v>
      </c>
      <c r="Q18" s="20" t="s">
        <v>160</v>
      </c>
      <c r="R18" s="20" t="s">
        <v>161</v>
      </c>
    </row>
    <row r="19" spans="1:18" ht="19" x14ac:dyDescent="0.25">
      <c r="A19" s="6" t="s">
        <v>14</v>
      </c>
      <c r="B19" s="10">
        <v>15022000</v>
      </c>
      <c r="C19" s="10">
        <v>43268000</v>
      </c>
      <c r="D19" s="10">
        <v>123881000</v>
      </c>
      <c r="E19" s="10">
        <v>98935000</v>
      </c>
      <c r="F19" s="10">
        <v>174962000</v>
      </c>
      <c r="G19" s="10">
        <v>284217000</v>
      </c>
      <c r="H19" s="10">
        <v>361153000</v>
      </c>
      <c r="I19" s="10">
        <v>628646000</v>
      </c>
      <c r="J19" s="10">
        <v>693000000</v>
      </c>
      <c r="K19" s="58">
        <v>835400000</v>
      </c>
      <c r="L19" s="58">
        <v>1174000000</v>
      </c>
      <c r="M19" s="58">
        <v>1608000000</v>
      </c>
      <c r="N19" s="58">
        <v>2122000000</v>
      </c>
      <c r="O19" s="58">
        <v>2615000000</v>
      </c>
      <c r="P19" s="31">
        <f>J40-J56-J61</f>
        <v>5761725000</v>
      </c>
      <c r="Q19" s="63">
        <f>R101/K3</f>
        <v>4.0012715517241375</v>
      </c>
      <c r="R19" s="65">
        <f>R101/K28</f>
        <v>66.947569594692055</v>
      </c>
    </row>
    <row r="20" spans="1:18" ht="19" customHeight="1" x14ac:dyDescent="0.25">
      <c r="A20" s="14" t="s">
        <v>101</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8" ht="19"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59">
        <f t="shared" ref="K21:O21" si="9">K19/K3</f>
        <v>7.2017241379310343E-2</v>
      </c>
      <c r="L21" s="59">
        <f t="shared" si="9"/>
        <v>8.0965517241379306E-2</v>
      </c>
      <c r="M21" s="59">
        <f t="shared" si="9"/>
        <v>9.0337078651685387E-2</v>
      </c>
      <c r="N21" s="59">
        <f t="shared" si="9"/>
        <v>0.10104761904761905</v>
      </c>
      <c r="O21" s="59">
        <f t="shared" si="9"/>
        <v>0.11127659574468085</v>
      </c>
    </row>
    <row r="22" spans="1:18" ht="19" x14ac:dyDescent="0.25">
      <c r="A22" s="6" t="s">
        <v>16</v>
      </c>
      <c r="B22" s="10">
        <v>13634000</v>
      </c>
      <c r="C22" s="10">
        <v>40846000</v>
      </c>
      <c r="D22" s="10">
        <v>62939000</v>
      </c>
      <c r="E22" s="10">
        <v>93394000</v>
      </c>
      <c r="F22" s="10">
        <v>173070000</v>
      </c>
      <c r="G22" s="10">
        <v>256795000</v>
      </c>
      <c r="H22" s="10">
        <v>373730000</v>
      </c>
      <c r="I22" s="10">
        <v>594731000</v>
      </c>
      <c r="J22" s="10">
        <v>664675000</v>
      </c>
    </row>
    <row r="23" spans="1:18"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8" ht="19" x14ac:dyDescent="0.25">
      <c r="A24" s="5" t="s">
        <v>18</v>
      </c>
      <c r="B24" s="1">
        <v>331000</v>
      </c>
      <c r="C24" s="1">
        <v>196000</v>
      </c>
      <c r="D24" s="1">
        <v>56570000</v>
      </c>
      <c r="E24" s="1">
        <v>-1170000</v>
      </c>
      <c r="F24" s="1">
        <v>-8360000</v>
      </c>
      <c r="G24" s="1">
        <v>463000</v>
      </c>
      <c r="H24" s="1">
        <v>-50550000</v>
      </c>
      <c r="I24" s="1">
        <v>-13884000</v>
      </c>
      <c r="J24" s="1">
        <v>-11251000</v>
      </c>
    </row>
    <row r="25" spans="1:18"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8"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8" ht="19" x14ac:dyDescent="0.25">
      <c r="A27" s="5" t="s">
        <v>21</v>
      </c>
      <c r="B27" s="1">
        <v>3101000</v>
      </c>
      <c r="C27" s="1">
        <v>7434000</v>
      </c>
      <c r="D27" s="1">
        <v>22279000</v>
      </c>
      <c r="E27" s="1">
        <v>20917000</v>
      </c>
      <c r="F27" s="1">
        <v>33564000</v>
      </c>
      <c r="G27" s="1">
        <v>53219000</v>
      </c>
      <c r="H27" s="1">
        <v>62161000</v>
      </c>
      <c r="I27" s="1">
        <v>111130000</v>
      </c>
      <c r="J27" s="1">
        <v>149690000</v>
      </c>
    </row>
    <row r="28" spans="1:18"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61">
        <v>693300000</v>
      </c>
      <c r="L28" s="61">
        <v>952500000</v>
      </c>
      <c r="M28" s="61">
        <v>1321000000</v>
      </c>
      <c r="N28" s="61">
        <v>1691000000</v>
      </c>
      <c r="O28" s="61">
        <v>1916000000</v>
      </c>
    </row>
    <row r="29" spans="1:18" ht="20" customHeight="1" thickTop="1" x14ac:dyDescent="0.25">
      <c r="A29" s="14" t="s">
        <v>102</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8"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62">
        <f t="shared" ref="K30:O30" si="16">K28/K3</f>
        <v>5.9767241379310346E-2</v>
      </c>
      <c r="L30" s="62">
        <f t="shared" si="16"/>
        <v>6.5689655172413791E-2</v>
      </c>
      <c r="M30" s="62">
        <f t="shared" si="16"/>
        <v>7.4213483146067419E-2</v>
      </c>
      <c r="N30" s="62">
        <f t="shared" si="16"/>
        <v>8.0523809523809525E-2</v>
      </c>
      <c r="O30" s="62">
        <f t="shared" si="16"/>
        <v>8.1531914893617025E-2</v>
      </c>
    </row>
    <row r="31" spans="1:18" ht="19" x14ac:dyDescent="0.25">
      <c r="A31" s="5" t="s">
        <v>24</v>
      </c>
      <c r="B31" s="12">
        <v>0.37</v>
      </c>
      <c r="C31" s="12">
        <v>1.1399999999999999</v>
      </c>
      <c r="D31" s="12">
        <v>3.29</v>
      </c>
      <c r="E31" s="12">
        <v>2.41</v>
      </c>
      <c r="F31" s="12">
        <v>4.45</v>
      </c>
      <c r="G31" s="12">
        <v>6.86</v>
      </c>
      <c r="H31" s="12">
        <v>8.6300000000000008</v>
      </c>
      <c r="I31" s="12">
        <v>15.53</v>
      </c>
      <c r="J31" s="12">
        <v>18.21</v>
      </c>
      <c r="K31" s="60">
        <v>22.37</v>
      </c>
      <c r="L31" s="60">
        <v>30.74</v>
      </c>
      <c r="M31" s="60">
        <v>42.62</v>
      </c>
      <c r="N31" s="60">
        <v>54.58</v>
      </c>
      <c r="O31" s="60">
        <v>61.83</v>
      </c>
    </row>
    <row r="32" spans="1:18"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103</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92</v>
      </c>
      <c r="C39" s="1" t="s">
        <v>92</v>
      </c>
      <c r="D39" s="1" t="s">
        <v>92</v>
      </c>
      <c r="E39" s="1">
        <v>6989000</v>
      </c>
      <c r="F39" s="1">
        <v>14260000</v>
      </c>
      <c r="G39" s="1">
        <v>13031000</v>
      </c>
      <c r="H39" s="1">
        <v>12238000</v>
      </c>
      <c r="I39" s="1" t="s">
        <v>92</v>
      </c>
      <c r="J39" s="1" t="s">
        <v>92</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92</v>
      </c>
      <c r="C41" s="1" t="s">
        <v>92</v>
      </c>
      <c r="D41" s="1" t="s">
        <v>92</v>
      </c>
      <c r="E41" s="1" t="s">
        <v>92</v>
      </c>
      <c r="F41" s="1" t="s">
        <v>92</v>
      </c>
      <c r="G41" s="1" t="s">
        <v>92</v>
      </c>
      <c r="H41" s="1" t="s">
        <v>92</v>
      </c>
      <c r="I41" s="1" t="s">
        <v>92</v>
      </c>
      <c r="J41" s="1" t="s">
        <v>92</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92</v>
      </c>
      <c r="C49" s="1" t="s">
        <v>92</v>
      </c>
      <c r="D49" s="1" t="s">
        <v>92</v>
      </c>
      <c r="E49" s="1">
        <v>18087000</v>
      </c>
      <c r="F49" s="1">
        <v>16118000</v>
      </c>
      <c r="G49" s="1">
        <v>31057000</v>
      </c>
      <c r="H49" s="1">
        <v>8645000</v>
      </c>
      <c r="I49" s="1" t="s">
        <v>92</v>
      </c>
      <c r="J49" s="1" t="s">
        <v>92</v>
      </c>
    </row>
    <row r="50" spans="1:10" ht="19" x14ac:dyDescent="0.25">
      <c r="A50" s="5" t="s">
        <v>42</v>
      </c>
      <c r="B50" s="1" t="s">
        <v>92</v>
      </c>
      <c r="C50" s="1">
        <v>919000</v>
      </c>
      <c r="D50" s="1">
        <v>1160000</v>
      </c>
      <c r="E50" s="1">
        <v>1627000</v>
      </c>
      <c r="F50" s="1">
        <v>8297000</v>
      </c>
      <c r="G50" s="1">
        <v>71633000</v>
      </c>
      <c r="H50" s="1">
        <v>106337000</v>
      </c>
      <c r="I50" s="1">
        <v>127782000</v>
      </c>
      <c r="J50" s="1">
        <v>150298000</v>
      </c>
    </row>
    <row r="51" spans="1:10" ht="19" x14ac:dyDescent="0.25">
      <c r="A51" s="5" t="s">
        <v>43</v>
      </c>
      <c r="B51" s="1" t="s">
        <v>92</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92</v>
      </c>
      <c r="C53" s="1" t="s">
        <v>92</v>
      </c>
      <c r="D53" s="1" t="s">
        <v>92</v>
      </c>
      <c r="E53" s="1" t="s">
        <v>92</v>
      </c>
      <c r="F53" s="1" t="s">
        <v>92</v>
      </c>
      <c r="G53" s="1" t="s">
        <v>92</v>
      </c>
      <c r="H53" s="1" t="s">
        <v>92</v>
      </c>
      <c r="I53" s="1" t="s">
        <v>92</v>
      </c>
      <c r="J53" s="1" t="s">
        <v>92</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92</v>
      </c>
      <c r="C56" s="1" t="s">
        <v>92</v>
      </c>
      <c r="D56" s="1" t="s">
        <v>92</v>
      </c>
      <c r="E56" s="1" t="s">
        <v>92</v>
      </c>
      <c r="F56" s="1" t="s">
        <v>92</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92</v>
      </c>
      <c r="C61" s="1" t="s">
        <v>92</v>
      </c>
      <c r="D61" s="1" t="s">
        <v>92</v>
      </c>
      <c r="E61" s="1" t="s">
        <v>92</v>
      </c>
      <c r="F61" s="1" t="s">
        <v>92</v>
      </c>
      <c r="G61" s="1">
        <v>50903000</v>
      </c>
      <c r="H61" s="1">
        <v>118051000</v>
      </c>
      <c r="I61" s="1">
        <v>119968000</v>
      </c>
      <c r="J61" s="1">
        <v>169873000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v>19000</v>
      </c>
      <c r="D63" s="1">
        <v>3848000</v>
      </c>
      <c r="E63" s="1">
        <v>5130000</v>
      </c>
      <c r="F63" s="1">
        <v>23777000</v>
      </c>
      <c r="G63" s="1">
        <v>26214000</v>
      </c>
      <c r="H63" s="1">
        <v>23924000</v>
      </c>
      <c r="I63" s="1">
        <v>16401000</v>
      </c>
      <c r="J63" s="1">
        <v>11345000</v>
      </c>
    </row>
    <row r="64" spans="1:10" ht="19" x14ac:dyDescent="0.25">
      <c r="A64" s="5" t="s">
        <v>55</v>
      </c>
      <c r="B64" s="1" t="s">
        <v>92</v>
      </c>
      <c r="C64" s="1" t="s">
        <v>92</v>
      </c>
      <c r="D64" s="1" t="s">
        <v>92</v>
      </c>
      <c r="E64" s="1" t="s">
        <v>92</v>
      </c>
      <c r="F64" s="1">
        <v>23800000</v>
      </c>
      <c r="G64" s="1">
        <v>35800000</v>
      </c>
      <c r="H64" s="1">
        <v>68400000</v>
      </c>
      <c r="I64" s="1">
        <v>87301000</v>
      </c>
      <c r="J64" s="1">
        <v>35000000</v>
      </c>
    </row>
    <row r="65" spans="1:10" ht="19" x14ac:dyDescent="0.25">
      <c r="A65" s="5" t="s">
        <v>56</v>
      </c>
      <c r="B65" s="1" t="s">
        <v>92</v>
      </c>
      <c r="C65" s="1">
        <v>19000</v>
      </c>
      <c r="D65" s="1">
        <v>3848000</v>
      </c>
      <c r="E65" s="1">
        <v>5130000</v>
      </c>
      <c r="F65" s="1">
        <v>47577000</v>
      </c>
      <c r="G65" s="1">
        <v>112917000</v>
      </c>
      <c r="H65" s="1">
        <v>210375000</v>
      </c>
      <c r="I65" s="1">
        <v>223670000</v>
      </c>
      <c r="J65" s="1">
        <f>196027000</f>
        <v>196027000</v>
      </c>
    </row>
    <row r="66" spans="1:10" ht="19" x14ac:dyDescent="0.25">
      <c r="A66" s="5" t="s">
        <v>57</v>
      </c>
      <c r="B66" s="1" t="s">
        <v>92</v>
      </c>
      <c r="C66" s="1" t="s">
        <v>92</v>
      </c>
      <c r="D66" s="1" t="s">
        <v>92</v>
      </c>
      <c r="E66" s="1" t="s">
        <v>92</v>
      </c>
      <c r="F66" s="1" t="s">
        <v>92</v>
      </c>
      <c r="G66" s="1" t="s">
        <v>92</v>
      </c>
      <c r="H66" s="1" t="s">
        <v>92</v>
      </c>
      <c r="I66" s="1" t="s">
        <v>92</v>
      </c>
      <c r="J66" s="1" t="s">
        <v>92</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92</v>
      </c>
      <c r="C70" s="1" t="s">
        <v>92</v>
      </c>
      <c r="D70" s="1" t="s">
        <v>92</v>
      </c>
      <c r="E70" s="1" t="s">
        <v>92</v>
      </c>
      <c r="F70" s="1" t="s">
        <v>92</v>
      </c>
      <c r="G70" s="1" t="s">
        <v>92</v>
      </c>
      <c r="H70" s="1" t="s">
        <v>92</v>
      </c>
      <c r="I70" s="1" t="s">
        <v>92</v>
      </c>
      <c r="J70" s="1" t="s">
        <v>92</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93</v>
      </c>
      <c r="C74" s="13" t="s">
        <v>93</v>
      </c>
      <c r="D74" s="13" t="s">
        <v>93</v>
      </c>
      <c r="E74" s="13" t="s">
        <v>93</v>
      </c>
      <c r="F74" s="13" t="s">
        <v>93</v>
      </c>
      <c r="G74" s="13" t="s">
        <v>93</v>
      </c>
      <c r="H74" s="13" t="s">
        <v>93</v>
      </c>
      <c r="I74" s="13" t="s">
        <v>93</v>
      </c>
      <c r="J74" s="13" t="s">
        <v>93</v>
      </c>
    </row>
    <row r="75" spans="1:10" ht="21" x14ac:dyDescent="0.25">
      <c r="A75" s="4" t="s">
        <v>65</v>
      </c>
      <c r="B75" s="9" t="s">
        <v>91</v>
      </c>
      <c r="C75" s="9" t="s">
        <v>91</v>
      </c>
      <c r="D75" s="9" t="s">
        <v>91</v>
      </c>
      <c r="E75" s="9" t="s">
        <v>91</v>
      </c>
      <c r="F75" s="9" t="s">
        <v>91</v>
      </c>
      <c r="G75" s="9" t="s">
        <v>91</v>
      </c>
      <c r="H75" s="9" t="s">
        <v>91</v>
      </c>
      <c r="I75" s="9" t="s">
        <v>91</v>
      </c>
      <c r="J75" s="9" t="s">
        <v>91</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92</v>
      </c>
      <c r="C78" s="1" t="s">
        <v>92</v>
      </c>
      <c r="D78" s="1" t="s">
        <v>92</v>
      </c>
      <c r="E78" s="1" t="s">
        <v>92</v>
      </c>
      <c r="F78" s="1" t="s">
        <v>92</v>
      </c>
      <c r="G78" s="1" t="s">
        <v>92</v>
      </c>
      <c r="H78" s="1" t="s">
        <v>92</v>
      </c>
      <c r="I78" s="1" t="s">
        <v>92</v>
      </c>
      <c r="J78" s="1" t="s">
        <v>92</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104</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row>
    <row r="82" spans="1:18" ht="19" x14ac:dyDescent="0.25">
      <c r="A82" s="5" t="s">
        <v>70</v>
      </c>
      <c r="B82" s="1" t="s">
        <v>92</v>
      </c>
      <c r="C82" s="1" t="s">
        <v>92</v>
      </c>
      <c r="D82" s="1" t="s">
        <v>92</v>
      </c>
      <c r="E82" s="1" t="s">
        <v>92</v>
      </c>
      <c r="F82" s="1" t="s">
        <v>92</v>
      </c>
      <c r="G82" s="1" t="s">
        <v>92</v>
      </c>
      <c r="H82" s="1" t="s">
        <v>92</v>
      </c>
      <c r="I82" s="1" t="s">
        <v>92</v>
      </c>
      <c r="J82" s="1" t="s">
        <v>92</v>
      </c>
    </row>
    <row r="83" spans="1:18" ht="21" x14ac:dyDescent="0.25">
      <c r="A83" s="5" t="s">
        <v>34</v>
      </c>
      <c r="B83" s="1">
        <v>214000</v>
      </c>
      <c r="C83" s="1">
        <v>-1394000</v>
      </c>
      <c r="D83" s="1">
        <v>-1784000</v>
      </c>
      <c r="E83" s="1">
        <v>-771000</v>
      </c>
      <c r="F83" s="1">
        <v>-3847000</v>
      </c>
      <c r="G83" s="1">
        <v>844000</v>
      </c>
      <c r="H83" s="1">
        <v>-12528000</v>
      </c>
      <c r="I83" s="1">
        <v>-3851000</v>
      </c>
      <c r="J83" s="1"/>
      <c r="Q83" s="68" t="s">
        <v>126</v>
      </c>
      <c r="R83" s="69"/>
    </row>
    <row r="84" spans="1:18" ht="19" x14ac:dyDescent="0.25">
      <c r="A84" s="5" t="s">
        <v>47</v>
      </c>
      <c r="B84" s="1" t="s">
        <v>92</v>
      </c>
      <c r="C84" s="1" t="s">
        <v>92</v>
      </c>
      <c r="D84" s="1" t="s">
        <v>92</v>
      </c>
      <c r="E84" s="1" t="s">
        <v>92</v>
      </c>
      <c r="F84" s="1" t="s">
        <v>92</v>
      </c>
      <c r="G84" s="1" t="s">
        <v>92</v>
      </c>
      <c r="H84" s="1" t="s">
        <v>92</v>
      </c>
      <c r="I84" s="1" t="s">
        <v>92</v>
      </c>
      <c r="J84" s="1" t="s">
        <v>92</v>
      </c>
      <c r="Q84" s="70" t="s">
        <v>127</v>
      </c>
      <c r="R84" s="71"/>
    </row>
    <row r="85" spans="1:18" ht="20" x14ac:dyDescent="0.25">
      <c r="A85" s="5" t="s">
        <v>71</v>
      </c>
      <c r="B85" s="1" t="s">
        <v>92</v>
      </c>
      <c r="C85" s="1" t="s">
        <v>92</v>
      </c>
      <c r="D85" s="1" t="s">
        <v>92</v>
      </c>
      <c r="E85" s="1" t="s">
        <v>92</v>
      </c>
      <c r="F85" s="1" t="s">
        <v>92</v>
      </c>
      <c r="G85" s="1" t="s">
        <v>92</v>
      </c>
      <c r="H85" s="1" t="s">
        <v>92</v>
      </c>
      <c r="I85" s="1" t="s">
        <v>92</v>
      </c>
      <c r="J85" s="1" t="s">
        <v>92</v>
      </c>
      <c r="Q85" s="24" t="s">
        <v>128</v>
      </c>
      <c r="R85" s="2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24" t="s">
        <v>129</v>
      </c>
      <c r="R86" s="2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24" t="s">
        <v>130</v>
      </c>
      <c r="R87" s="2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32" t="s">
        <v>131</v>
      </c>
      <c r="R88" s="33">
        <f>R85/(R86+R87)</f>
        <v>5.8909850152408245E-2</v>
      </c>
    </row>
    <row r="89" spans="1:18" ht="20" customHeight="1" x14ac:dyDescent="0.25">
      <c r="A89" s="14" t="s">
        <v>105</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24" t="s">
        <v>106</v>
      </c>
      <c r="R89" s="25">
        <f>J27</f>
        <v>149690000</v>
      </c>
    </row>
    <row r="90" spans="1:18" ht="20" x14ac:dyDescent="0.25">
      <c r="A90" s="5" t="s">
        <v>75</v>
      </c>
      <c r="B90" s="1" t="s">
        <v>92</v>
      </c>
      <c r="C90" s="1" t="s">
        <v>92</v>
      </c>
      <c r="D90" s="1" t="s">
        <v>92</v>
      </c>
      <c r="E90" s="1" t="s">
        <v>92</v>
      </c>
      <c r="F90" s="1" t="s">
        <v>92</v>
      </c>
      <c r="G90" s="1" t="s">
        <v>92</v>
      </c>
      <c r="H90" s="1" t="s">
        <v>92</v>
      </c>
      <c r="I90" s="1" t="s">
        <v>92</v>
      </c>
      <c r="J90" s="1" t="s">
        <v>92</v>
      </c>
      <c r="Q90" s="24" t="s">
        <v>19</v>
      </c>
      <c r="R90" s="25">
        <f>J25</f>
        <v>653424000</v>
      </c>
    </row>
    <row r="91" spans="1:18" ht="20" x14ac:dyDescent="0.25">
      <c r="A91" s="5" t="s">
        <v>76</v>
      </c>
      <c r="B91" s="1" t="s">
        <v>92</v>
      </c>
      <c r="C91" s="1" t="s">
        <v>92</v>
      </c>
      <c r="D91" s="1" t="s">
        <v>92</v>
      </c>
      <c r="E91" s="1">
        <v>-6989000</v>
      </c>
      <c r="F91" s="1">
        <v>-9607000</v>
      </c>
      <c r="G91" s="1">
        <v>-10073000</v>
      </c>
      <c r="H91" s="1">
        <v>-13355000</v>
      </c>
      <c r="I91" s="1">
        <v>-211000</v>
      </c>
      <c r="J91" s="1">
        <v>0</v>
      </c>
      <c r="Q91" s="32" t="s">
        <v>132</v>
      </c>
      <c r="R91" s="33">
        <f>R89/R90</f>
        <v>0.22908555547393422</v>
      </c>
    </row>
    <row r="92" spans="1:18" ht="20" x14ac:dyDescent="0.25">
      <c r="A92" s="5" t="s">
        <v>77</v>
      </c>
      <c r="B92" s="1" t="s">
        <v>92</v>
      </c>
      <c r="C92" s="1" t="s">
        <v>92</v>
      </c>
      <c r="D92" s="1" t="s">
        <v>92</v>
      </c>
      <c r="E92" s="1" t="s">
        <v>92</v>
      </c>
      <c r="F92" s="1">
        <v>6989000</v>
      </c>
      <c r="G92" s="1">
        <v>7275000</v>
      </c>
      <c r="H92" s="1">
        <v>13088000</v>
      </c>
      <c r="I92" s="1">
        <v>12427000</v>
      </c>
      <c r="J92" s="1">
        <v>0</v>
      </c>
      <c r="Q92" s="34" t="s">
        <v>133</v>
      </c>
      <c r="R92" s="35">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70" t="s">
        <v>134</v>
      </c>
      <c r="R93" s="71"/>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24" t="s">
        <v>135</v>
      </c>
      <c r="R94" s="36">
        <v>4.095E-2</v>
      </c>
    </row>
    <row r="95" spans="1:18" ht="20" x14ac:dyDescent="0.25">
      <c r="A95" s="5" t="s">
        <v>80</v>
      </c>
      <c r="B95" s="1" t="s">
        <v>92</v>
      </c>
      <c r="C95" s="1" t="s">
        <v>92</v>
      </c>
      <c r="D95" s="1" t="s">
        <v>92</v>
      </c>
      <c r="E95" s="1" t="s">
        <v>92</v>
      </c>
      <c r="F95" s="1" t="s">
        <v>92</v>
      </c>
      <c r="G95" s="1" t="s">
        <v>92</v>
      </c>
      <c r="H95" s="1" t="s">
        <v>92</v>
      </c>
      <c r="I95" s="1" t="s">
        <v>92</v>
      </c>
      <c r="J95" s="1" t="s">
        <v>92</v>
      </c>
      <c r="Q95" s="24" t="s">
        <v>136</v>
      </c>
      <c r="R95" s="37" cm="1">
        <f t="array" ref="R95">_FV(A1,"Beta")</f>
        <v>1.3306</v>
      </c>
    </row>
    <row r="96" spans="1:18" ht="20" x14ac:dyDescent="0.25">
      <c r="A96" s="5" t="s">
        <v>81</v>
      </c>
      <c r="B96" s="1">
        <v>96717000</v>
      </c>
      <c r="C96" s="1">
        <v>39981000</v>
      </c>
      <c r="D96" s="1">
        <v>172000</v>
      </c>
      <c r="E96" s="1">
        <v>984000</v>
      </c>
      <c r="F96" s="1">
        <v>36153000</v>
      </c>
      <c r="G96" s="1">
        <v>37613000</v>
      </c>
      <c r="H96" s="1">
        <v>12832000</v>
      </c>
      <c r="I96" s="1">
        <v>105285000</v>
      </c>
      <c r="J96" s="1">
        <v>9926000</v>
      </c>
      <c r="Q96" s="24" t="s">
        <v>137</v>
      </c>
      <c r="R96" s="36">
        <v>8.4000000000000005E-2</v>
      </c>
    </row>
    <row r="97" spans="1:18" ht="20" x14ac:dyDescent="0.25">
      <c r="A97" s="5" t="s">
        <v>82</v>
      </c>
      <c r="B97" s="1" t="s">
        <v>92</v>
      </c>
      <c r="C97" s="1" t="s">
        <v>92</v>
      </c>
      <c r="D97" s="1" t="s">
        <v>92</v>
      </c>
      <c r="E97" s="1" t="s">
        <v>92</v>
      </c>
      <c r="F97" s="1">
        <v>-31035000</v>
      </c>
      <c r="G97" s="1">
        <v>-18323000</v>
      </c>
      <c r="H97" s="1" t="s">
        <v>92</v>
      </c>
      <c r="I97" s="1" t="s">
        <v>92</v>
      </c>
      <c r="J97" s="1" t="s">
        <v>92</v>
      </c>
      <c r="Q97" s="34" t="s">
        <v>138</v>
      </c>
      <c r="R97" s="35">
        <f>(R94)+((R95)*(R96-R94))</f>
        <v>9.8232330000000007E-2</v>
      </c>
    </row>
    <row r="98" spans="1:18" ht="19" x14ac:dyDescent="0.25">
      <c r="A98" s="5" t="s">
        <v>83</v>
      </c>
      <c r="B98" s="1" t="s">
        <v>92</v>
      </c>
      <c r="C98" s="1" t="s">
        <v>92</v>
      </c>
      <c r="D98" s="1" t="s">
        <v>92</v>
      </c>
      <c r="E98" s="1" t="s">
        <v>92</v>
      </c>
      <c r="F98" s="1" t="s">
        <v>92</v>
      </c>
      <c r="G98" s="1" t="s">
        <v>92</v>
      </c>
      <c r="H98" s="1" t="s">
        <v>92</v>
      </c>
      <c r="I98" s="1" t="s">
        <v>92</v>
      </c>
      <c r="J98" s="1" t="s">
        <v>92</v>
      </c>
      <c r="Q98" s="70" t="s">
        <v>139</v>
      </c>
      <c r="R98" s="71"/>
    </row>
    <row r="99" spans="1:18" ht="20" x14ac:dyDescent="0.25">
      <c r="A99" s="5" t="s">
        <v>84</v>
      </c>
      <c r="B99" s="1" t="s">
        <v>92</v>
      </c>
      <c r="C99" s="1" t="s">
        <v>92</v>
      </c>
      <c r="D99" s="1" t="s">
        <v>92</v>
      </c>
      <c r="E99" s="1" t="s">
        <v>92</v>
      </c>
      <c r="F99" s="1" t="s">
        <v>92</v>
      </c>
      <c r="G99" s="1">
        <v>-9932000</v>
      </c>
      <c r="H99" s="1">
        <v>-9439000</v>
      </c>
      <c r="I99" s="1">
        <v>-9045000</v>
      </c>
      <c r="J99" s="1">
        <v>-22144000</v>
      </c>
      <c r="Q99" s="24" t="s">
        <v>140</v>
      </c>
      <c r="R99" s="2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32" t="s">
        <v>141</v>
      </c>
      <c r="R100" s="33">
        <f>R99/R103</f>
        <v>4.3561236225037794E-3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24" t="s">
        <v>142</v>
      </c>
      <c r="R101" s="38" cm="1">
        <f t="array" ref="R101">_FV(A1,"Market cap",TRUE)</f>
        <v>46414750000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32" t="s">
        <v>143</v>
      </c>
      <c r="R102" s="33">
        <f>R101/R103</f>
        <v>0.99564387637749618</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34" t="s">
        <v>144</v>
      </c>
      <c r="R103" s="39">
        <f>R99+R101</f>
        <v>46617823000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70" t="s">
        <v>145</v>
      </c>
      <c r="R104" s="71"/>
    </row>
    <row r="105" spans="1:18" ht="21" thickTop="1" x14ac:dyDescent="0.25">
      <c r="A105" s="14" t="s">
        <v>107</v>
      </c>
      <c r="B105" s="1"/>
      <c r="C105" s="15">
        <f>(C106/B106)-1</f>
        <v>-6.7140415452153546E-2</v>
      </c>
      <c r="D105" s="15">
        <f>(D106/C106)-1</f>
        <v>0.34593571341685925</v>
      </c>
      <c r="E105" s="15">
        <f>(E106/D106)-1</f>
        <v>7.0854444500929148E-2</v>
      </c>
      <c r="F105" s="15">
        <f>(F106/E106)-1</f>
        <v>0.95268035636106618</v>
      </c>
      <c r="G105" s="15">
        <f t="shared" ref="G105:J105" si="20">(G106/F106)-1</f>
        <v>0.37629087372871051</v>
      </c>
      <c r="H105" s="15">
        <f t="shared" si="20"/>
        <v>0.95242945970135184</v>
      </c>
      <c r="I105" s="15">
        <f t="shared" si="20"/>
        <v>0.77511045433297654</v>
      </c>
      <c r="J105" s="15">
        <f t="shared" si="20"/>
        <v>0.13206478649903719</v>
      </c>
      <c r="K105" s="15"/>
      <c r="L105" s="15"/>
      <c r="M105" s="15"/>
      <c r="N105" s="15"/>
      <c r="O105" s="15"/>
      <c r="P105" s="15"/>
      <c r="Q105" s="26" t="s">
        <v>108</v>
      </c>
      <c r="R105" s="27">
        <f>(R100*R92)+(R102*R97)</f>
        <v>9.8002248804440431E-2</v>
      </c>
    </row>
    <row r="106" spans="1:18" ht="19" x14ac:dyDescent="0.25">
      <c r="A106" s="5" t="s">
        <v>90</v>
      </c>
      <c r="B106" s="1">
        <v>141003000</v>
      </c>
      <c r="C106" s="1">
        <v>131536000</v>
      </c>
      <c r="D106" s="1">
        <v>177039000</v>
      </c>
      <c r="E106" s="1">
        <v>189583000</v>
      </c>
      <c r="F106" s="1">
        <v>370195000</v>
      </c>
      <c r="G106" s="1">
        <v>509496000</v>
      </c>
      <c r="H106" s="1">
        <v>994755000</v>
      </c>
      <c r="I106" s="1">
        <v>1765800000</v>
      </c>
      <c r="J106" s="1">
        <v>1999000000</v>
      </c>
      <c r="K106" s="40">
        <f>J106*(1+$R$106)</f>
        <v>2428616411.9150991</v>
      </c>
      <c r="L106" s="40">
        <f t="shared" ref="L106:O106" si="21">K106*(1+$R$106)</f>
        <v>2950564120.171771</v>
      </c>
      <c r="M106" s="40">
        <f t="shared" si="21"/>
        <v>3584686566.611805</v>
      </c>
      <c r="N106" s="40">
        <f t="shared" si="21"/>
        <v>4355091859.5522852</v>
      </c>
      <c r="O106" s="40">
        <f t="shared" si="21"/>
        <v>5291069317.4119701</v>
      </c>
      <c r="P106" s="41" t="s">
        <v>146</v>
      </c>
      <c r="Q106" s="42" t="s">
        <v>147</v>
      </c>
      <c r="R106" s="43">
        <f>(SUM(K4:O4)/5)</f>
        <v>0.21491566378944435</v>
      </c>
    </row>
    <row r="107" spans="1:18" ht="19" x14ac:dyDescent="0.25">
      <c r="A107" s="5"/>
      <c r="B107" s="13"/>
      <c r="C107" s="13"/>
      <c r="D107" s="13"/>
      <c r="E107" s="13"/>
      <c r="F107" s="13"/>
      <c r="G107" s="13"/>
      <c r="H107" s="13"/>
      <c r="I107" s="13"/>
      <c r="J107" s="13"/>
      <c r="K107" s="41"/>
      <c r="L107" s="41"/>
      <c r="M107" s="41"/>
      <c r="N107" s="41"/>
      <c r="O107" s="44">
        <f>O106*(1+R107)/(R108-R107)</f>
        <v>74290123101.21315</v>
      </c>
      <c r="P107" s="45" t="s">
        <v>148</v>
      </c>
      <c r="Q107" s="46" t="s">
        <v>149</v>
      </c>
      <c r="R107" s="47">
        <v>2.5000000000000001E-2</v>
      </c>
    </row>
    <row r="108" spans="1:18" ht="19" x14ac:dyDescent="0.25">
      <c r="K108" s="44">
        <f t="shared" ref="K108:M108" si="22">K107+K106</f>
        <v>2428616411.9150991</v>
      </c>
      <c r="L108" s="44">
        <f t="shared" si="22"/>
        <v>2950564120.171771</v>
      </c>
      <c r="M108" s="44">
        <f t="shared" si="22"/>
        <v>3584686566.611805</v>
      </c>
      <c r="N108" s="44">
        <f>N107+N106</f>
        <v>4355091859.5522852</v>
      </c>
      <c r="O108" s="44">
        <f>O107+O106</f>
        <v>79581192418.625122</v>
      </c>
      <c r="P108" s="45" t="s">
        <v>144</v>
      </c>
      <c r="Q108" s="48" t="s">
        <v>150</v>
      </c>
      <c r="R108" s="49">
        <f>R105</f>
        <v>9.8002248804440431E-2</v>
      </c>
    </row>
    <row r="109" spans="1:18" ht="19" x14ac:dyDescent="0.25">
      <c r="K109" s="66" t="s">
        <v>151</v>
      </c>
      <c r="L109" s="67"/>
    </row>
    <row r="110" spans="1:18" ht="20" x14ac:dyDescent="0.25">
      <c r="K110" s="50" t="s">
        <v>152</v>
      </c>
      <c r="L110" s="38">
        <f>NPV(R108,K108,L108,M108,N108,O108)</f>
        <v>60228287916.978096</v>
      </c>
    </row>
    <row r="111" spans="1:18" ht="20" x14ac:dyDescent="0.25">
      <c r="K111" s="50" t="s">
        <v>153</v>
      </c>
      <c r="L111" s="38">
        <f>J40</f>
        <v>5964798000</v>
      </c>
    </row>
    <row r="112" spans="1:18" ht="20" x14ac:dyDescent="0.25">
      <c r="K112" s="50" t="s">
        <v>140</v>
      </c>
      <c r="L112" s="38">
        <f>R99</f>
        <v>203073000</v>
      </c>
    </row>
    <row r="113" spans="11:12" ht="20" x14ac:dyDescent="0.25">
      <c r="K113" s="50" t="s">
        <v>154</v>
      </c>
      <c r="L113" s="38">
        <f>L110+L111-L112</f>
        <v>65990012916.978096</v>
      </c>
    </row>
    <row r="114" spans="11:12" ht="20" x14ac:dyDescent="0.25">
      <c r="K114" s="50" t="s">
        <v>155</v>
      </c>
      <c r="L114" s="51">
        <f>J34*(1+(5*P16))</f>
        <v>31444645.352630943</v>
      </c>
    </row>
    <row r="115" spans="11:12" ht="20" x14ac:dyDescent="0.25">
      <c r="K115" s="52" t="s">
        <v>156</v>
      </c>
      <c r="L115" s="53">
        <f>L113/L114</f>
        <v>2098.6089102593987</v>
      </c>
    </row>
    <row r="116" spans="11:12" ht="20" x14ac:dyDescent="0.25">
      <c r="K116" s="50" t="s">
        <v>157</v>
      </c>
      <c r="L116" s="54" cm="1">
        <f t="array" ref="L116">_FV(A1,"Price")</f>
        <v>1510.8</v>
      </c>
    </row>
    <row r="117" spans="11:12" ht="20" x14ac:dyDescent="0.25">
      <c r="K117" s="55" t="s">
        <v>158</v>
      </c>
      <c r="L117" s="56">
        <f>L115/L116-1</f>
        <v>0.38907129352621039</v>
      </c>
    </row>
    <row r="118" spans="11:12" ht="20" x14ac:dyDescent="0.25">
      <c r="K118" s="55" t="s">
        <v>159</v>
      </c>
      <c r="L118" s="57" t="str">
        <f>IF(L115&gt;L116,"BUY","SELL")</f>
        <v>BUY</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total_rev" xr:uid="{A2CAAA8B-B36F-3E4E-9B1A-027FF9D13D05}"/>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2023-05-31T04:11:04Z</dcterms:modified>
</cp:coreProperties>
</file>