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B2DA2235-A41D-D24F-BD12-4156CE1977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 a="1"/>
  <c r="J114" i="1" s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P97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Q4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5" i="1"/>
  <c r="H105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19" i="1" l="1"/>
  <c r="P106" i="1"/>
  <c r="I106" i="1" s="1"/>
  <c r="J106" i="1" s="1"/>
  <c r="I108" i="1"/>
  <c r="Q16" i="1"/>
  <c r="P16" i="1"/>
  <c r="O16" i="1"/>
  <c r="P103" i="1"/>
  <c r="P100" i="1" s="1"/>
  <c r="K106" i="1" l="1"/>
  <c r="J108" i="1"/>
  <c r="P102" i="1"/>
  <c r="P105" i="1" s="1"/>
  <c r="P108" i="1" s="1"/>
  <c r="M107" i="1" s="1"/>
  <c r="M108" i="1" s="1"/>
  <c r="L106" i="1" l="1"/>
  <c r="K108" i="1"/>
  <c r="L108" i="1" l="1"/>
  <c r="M106" i="1"/>
  <c r="J110" i="1" s="1"/>
  <c r="J113" i="1" s="1"/>
  <c r="J115" i="1" s="1"/>
  <c r="J118" i="1" s="1"/>
  <c r="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<sst xmlns="http://schemas.openxmlformats.org/spreadsheetml/2006/main" count="328" uniqueCount="162">
  <si>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</si>
  <si>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</si>
  <si>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</si>
  <si>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</si>
  <si>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</si>
  <si>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</si>
  <si>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</si>
  <si>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</si>
  <si>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</si>
  <si>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</si>
  <si>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</si>
  <si>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</si>
  <si>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</si>
  <si>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</si>
  <si>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</si>
  <si>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</si>
  <si>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</si>
  <si>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</si>
  <si>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</si>
  <si>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</si>
  <si>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</si>
  <si>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</si>
  <si>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</si>
  <si>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</si>
  <si>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</si>
  <si>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</si>
  <si>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</si>
  <si>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</si>
  <si>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</si>
  <si>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</si>
  <si>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</si>
  <si>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</si>
  <si>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</si>
  <si>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</si>
  <si>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</si>
  <si>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</si>
  <si>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</si>
  <si>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</si>
  <si>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</si>
  <si>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</si>
  <si>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</si>
  <si>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</si>
  <si>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</si>
  <si>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</si>
  <si>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</si>
  <si>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</si>
  <si>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</si>
  <si>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</si>
  <si>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</si>
  <si>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</si>
  <si>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</si>
  <si>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</si>
  <si>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</si>
  <si>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</si>
  <si>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</si>
  <si>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</si>
  <si>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</si>
  <si>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</si>
  <si>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</si>
  <si>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</si>
  <si>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</si>
  <si>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</si>
  <si>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</si>
  <si>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</si>
  <si>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</si>
  <si>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</si>
  <si>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</si>
  <si>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</si>
  <si>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</si>
  <si>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</si>
  <si>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</si>
  <si>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</si>
  <si>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</si>
  <si>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</si>
  <si>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</si>
  <si>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</si>
  <si>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</si>
  <si>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</si>
  <si>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</si>
  <si>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</si>
  <si>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</si>
  <si>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</si>
  <si>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</si>
  <si>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</si>
  <si>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</si>
  <si>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</si>
  <si>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</si>
  <si>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</si>
  <si>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</si>
  <si>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</si>
  <si>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</si>
  <si>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</si>
  <si>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</si>
  <si>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</si>
  <si>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</si>
  <si>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</si>
  <si>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</si>
  <si>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</si>
  <si>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</si>
  <si>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</si>
  <si>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</si>
  <si>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</si>
  <si>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</si>
  <si>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</si>
  <si>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</si>
  <si>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</si>
  <si>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</si>
  <si>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</si>
  <si>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</si>
  <si>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</si>
  <si>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</si>
  <si>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</si>
  <si>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</si>
  <si>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</si>
  <si>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</si>
  <si>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</si>
  <si>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</si>
  <si>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</si>
  <si>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</si>
  <si>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</si>
  <si>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</si>
  <si>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</si>
  <si>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</si>
  <si>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</si>
  <si>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</si>
  <si>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</si>
  <si>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</si>
  <si>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</si>
  <si>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</si>
  <si>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</si>
  <si>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</si>
  <si>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</si>
  <si>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</si>
  <si>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</si>
  <si>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</si>
  <si>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</si>
  <si>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</si>
  <si>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</si>
  <si>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</si>
  <si>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</si>
  <si>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</si>
  <si>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</si>
  <si>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</si>
  <si>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</si>
  <si>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</si>
  <si>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</si>
  <si>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</si>
  <si>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</si>
  <si>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</si>
  <si>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</si>
  <si>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</si>
  <si>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</si>
  <si>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</si>
  <si>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</si>
  <si>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</si>
  <si>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</si>
  <si>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</si>
  <si>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</si>
  <si>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</si>
  <si>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</si>
  <si>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Shares (No dilution)</t>
  </si>
  <si>
    <t>Forward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</si>
</sst>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8" fontId="12" fillId="5" borderId="10" xfId="0" applyNumberFormat="1" applyFont="1" applyFill="1" applyBorder="1"/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11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1'!$B$106:$H$106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1.0079</v>
    <v>3.11</v>
    <v>5.3593000000000002E-2</v>
    <v>-0.12</v>
    <v>-1.9629999999999999E-3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62.98</v>
    <v>Software &amp; IT Services</v>
    <v>Stock</v>
    <v>45072.999958193752</v>
    <v>0</v>
    <v>57.21</v>
    <v>20293090000</v>
    <v>CLOUDFLARE, INC.</v>
    <v>CLOUDFLARE, INC.</v>
    <v>57.76</v>
    <v>58.03</v>
    <v>61.14</v>
    <v>61.02</v>
    <v>331911800</v>
    <v>NET</v>
    <v>CLOUDFLARE, INC. (XNYS:NET)</v>
    <v>7207618</v>
    <v>7507029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E82" activePane="bottomRight" state="frozen"/>
      <selection pane="topRight"/>
      <selection pane="bottomLeft"/>
      <selection pane="bottomRight" activeCell="I5" sqref="I5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7">
        <v>2023</v>
      </c>
      <c r="J1" s="27">
        <v>2024</v>
      </c>
      <c r="K1" s="27">
        <v>2025</v>
      </c>
      <c r="L1" s="27">
        <v>2026</v>
      </c>
      <c r="M1" s="27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8">
        <v>1282000000</v>
      </c>
      <c r="J3" s="28">
        <v>1668000000</v>
      </c>
      <c r="K3" s="28">
        <v>2151000000</v>
      </c>
      <c r="L3" s="28">
        <v>2988000000</v>
      </c>
      <c r="M3" s="28">
        <v>3825000000</v>
      </c>
      <c r="N3" s="19" t="s">
        <v>109</v>
      </c>
      <c r="O3" s="20" t="s">
        <v>110</v>
      </c>
      <c r="P3" s="20" t="s">
        <v>111</v>
      </c>
      <c r="Q3" s="20" t="s">
        <v>112</v>
      </c>
    </row>
    <row r="4" spans="1:38" ht="19" x14ac:dyDescent="0.25">
      <c r="A4" s="14" t="s">
        <v>94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(H105+G105+F105)/3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113</v>
      </c>
      <c r="O6" s="20" t="s">
        <v>114</v>
      </c>
      <c r="P6" s="20" t="s">
        <v>115</v>
      </c>
      <c r="Q6" s="20" t="s">
        <v>116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H106/H3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95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96</v>
      </c>
      <c r="O9" s="20" t="s">
        <v>97</v>
      </c>
      <c r="P9" s="20" t="s">
        <v>98</v>
      </c>
      <c r="Q9" s="20" t="s">
        <v>99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117</v>
      </c>
      <c r="O12" s="20" t="s">
        <v>118</v>
      </c>
      <c r="P12" s="20" t="s">
        <v>119</v>
      </c>
      <c r="Q12" s="20" t="s">
        <v>120</v>
      </c>
    </row>
    <row r="13" spans="1:38" ht="19" x14ac:dyDescent="0.25">
      <c r="A13" s="14" t="s">
        <v>100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62">
        <f>H67/H72</f>
        <v>3.1475277419851144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121</v>
      </c>
      <c r="O15" s="20" t="s">
        <v>122</v>
      </c>
      <c r="P15" s="20" t="s">
        <v>123</v>
      </c>
      <c r="Q15" s="20" t="s">
        <v>124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9">
        <f>(H35+G35+F35+E35+D35)/5</f>
        <v>0.13947445605504918</v>
      </c>
      <c r="O16" s="61">
        <f>P101/H3</f>
        <v>20.808282260487406</v>
      </c>
      <c r="P16" s="61">
        <f>P101/H28</f>
        <v>-104.93838588072251</v>
      </c>
      <c r="Q16" s="63">
        <f>P101/H106</f>
        <v>-510.27408282833363</v>
      </c>
    </row>
    <row r="17" spans="1:16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6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125</v>
      </c>
      <c r="O18" s="19" t="s">
        <v>159</v>
      </c>
      <c r="P18" s="20" t="s">
        <v>161</v>
      </c>
    </row>
    <row r="19" spans="1:16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57">
        <v>204300000</v>
      </c>
      <c r="J19" s="57">
        <v>265600000</v>
      </c>
      <c r="K19" s="57">
        <v>379000000</v>
      </c>
      <c r="L19" s="57">
        <v>384000000</v>
      </c>
      <c r="M19" s="57">
        <v>528000000</v>
      </c>
      <c r="N19" s="30">
        <f>H40-H56-H61</f>
        <v>72846000</v>
      </c>
      <c r="O19" s="64">
        <f>P101/I3</f>
        <v>15.829243369734789</v>
      </c>
      <c r="P19" s="64">
        <f>P101/I28</f>
        <v>172.85425894378193</v>
      </c>
    </row>
    <row r="20" spans="1:16" ht="19" customHeight="1" x14ac:dyDescent="0.25">
      <c r="A20" s="14" t="s">
        <v>101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6" ht="19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58">
        <f>I19/I3</f>
        <v>0.15936037441497661</v>
      </c>
      <c r="J21" s="58">
        <f t="shared" ref="J21:M21" si="11">J19/J3</f>
        <v>0.15923261390887289</v>
      </c>
      <c r="K21" s="58">
        <f t="shared" si="11"/>
        <v>0.17619711761971177</v>
      </c>
      <c r="L21" s="58">
        <f t="shared" si="11"/>
        <v>0.12851405622489959</v>
      </c>
      <c r="M21" s="58">
        <f t="shared" si="11"/>
        <v>0.1380392156862745</v>
      </c>
    </row>
    <row r="22" spans="1:16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</row>
    <row r="23" spans="1:16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6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6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6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6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6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65">
        <v>117400000</v>
      </c>
      <c r="J28" s="65">
        <v>148100000</v>
      </c>
      <c r="K28" s="65">
        <v>224500000</v>
      </c>
      <c r="L28" s="65">
        <v>406600000</v>
      </c>
      <c r="M28" s="65">
        <v>637400000</v>
      </c>
    </row>
    <row r="29" spans="1:16" ht="20" customHeight="1" thickTop="1" x14ac:dyDescent="0.25">
      <c r="A29" s="14" t="s">
        <v>102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6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58">
        <f>I28/I3</f>
        <v>9.1575663026521065E-2</v>
      </c>
      <c r="J30" s="58">
        <f t="shared" ref="J30:M30" si="20">J28/J3</f>
        <v>8.8788968824940043E-2</v>
      </c>
      <c r="K30" s="58">
        <f t="shared" si="20"/>
        <v>0.10437006043700604</v>
      </c>
      <c r="L30" s="58">
        <f t="shared" si="20"/>
        <v>0.1360776439089692</v>
      </c>
      <c r="M30" s="58">
        <f t="shared" si="20"/>
        <v>0.16664052287581699</v>
      </c>
    </row>
    <row r="31" spans="1:16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6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103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</row>
    <row r="37" spans="1: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</row>
    <row r="38" spans="1:8" ht="19" x14ac:dyDescent="0.25">
      <c r="A38" s="5" t="s">
        <v>30</v>
      </c>
      <c r="B38" s="1" t="s">
        <v>92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92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92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92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</row>
    <row r="43" spans="1:8" ht="19" x14ac:dyDescent="0.25">
      <c r="A43" s="5" t="s">
        <v>35</v>
      </c>
      <c r="B43" s="1" t="s">
        <v>92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92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92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92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92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92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</row>
    <row r="50" spans="1: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</row>
    <row r="51" spans="1:8" ht="19" x14ac:dyDescent="0.25">
      <c r="A51" s="5" t="s">
        <v>43</v>
      </c>
      <c r="B51" s="1" t="s">
        <v>92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92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</row>
    <row r="54" spans="1:8" ht="20" thickBot="1" x14ac:dyDescent="0.3">
      <c r="A54" s="7" t="s">
        <v>46</v>
      </c>
      <c r="B54" s="11" t="s">
        <v>92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92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</row>
    <row r="58" spans="1:8" ht="19" x14ac:dyDescent="0.25">
      <c r="A58" s="5" t="s">
        <v>50</v>
      </c>
      <c r="B58" s="1" t="s">
        <v>92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92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92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92</v>
      </c>
      <c r="C61" s="1">
        <v>255000</v>
      </c>
      <c r="D61" s="1" t="s">
        <v>92</v>
      </c>
      <c r="E61" s="1" t="s">
        <v>92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92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</row>
    <row r="64" spans="1:8" ht="19" x14ac:dyDescent="0.25">
      <c r="A64" s="5" t="s">
        <v>55</v>
      </c>
      <c r="B64" s="1" t="s">
        <v>92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92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</row>
    <row r="67" spans="1:8" ht="19" x14ac:dyDescent="0.25">
      <c r="A67" s="6" t="s">
        <v>58</v>
      </c>
      <c r="B67" s="10" t="s">
        <v>92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92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92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92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92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92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92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</row>
    <row r="75" spans="1: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104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O83" s="68" t="s">
        <v>126</v>
      </c>
      <c r="P83" s="69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70" t="s">
        <v>127</v>
      </c>
      <c r="P84" s="71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92</v>
      </c>
      <c r="O85" s="23" t="s">
        <v>128</v>
      </c>
      <c r="P85" s="24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92</v>
      </c>
      <c r="O86" s="23" t="s">
        <v>129</v>
      </c>
      <c r="P86" s="24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3" t="s">
        <v>130</v>
      </c>
      <c r="P87" s="24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1" t="s">
        <v>131</v>
      </c>
      <c r="P88" s="32">
        <f>P85/(P86+P87)</f>
        <v>3.1602488378920431E-3</v>
      </c>
    </row>
    <row r="89" spans="1:16" ht="20" customHeight="1" x14ac:dyDescent="0.25">
      <c r="A89" s="14" t="s">
        <v>105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23" t="s">
        <v>106</v>
      </c>
      <c r="P89" s="24">
        <f>H27</f>
        <v>2648000</v>
      </c>
    </row>
    <row r="90" spans="1:1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-13941000</v>
      </c>
      <c r="G90" s="1">
        <v>-5605000</v>
      </c>
      <c r="H90" s="1">
        <v>-88187000</v>
      </c>
      <c r="O90" s="23" t="s">
        <v>19</v>
      </c>
      <c r="P90" s="24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1" t="s">
        <v>132</v>
      </c>
      <c r="P91" s="32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3" t="s">
        <v>133</v>
      </c>
      <c r="P92" s="34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70" t="s">
        <v>134</v>
      </c>
      <c r="P93" s="71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3" t="s">
        <v>135</v>
      </c>
      <c r="P94" s="35">
        <v>4.095E-2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92</v>
      </c>
      <c r="O95" s="23" t="s">
        <v>136</v>
      </c>
      <c r="P95" s="36" cm="1">
        <f t="array" ref="P95">_FV(A1,"Beta")</f>
        <v>1.0079</v>
      </c>
    </row>
    <row r="96" spans="1:1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570544000</v>
      </c>
      <c r="F96" s="1">
        <v>10923000</v>
      </c>
      <c r="G96" s="1" t="s">
        <v>92</v>
      </c>
      <c r="H96" s="1" t="s">
        <v>92</v>
      </c>
      <c r="O96" s="23" t="s">
        <v>137</v>
      </c>
      <c r="P96" s="35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3" t="s">
        <v>138</v>
      </c>
      <c r="P97" s="34">
        <f>(P94)+((P95)*(P96-P94))</f>
        <v>8.4340095000000004E-2</v>
      </c>
    </row>
    <row r="98" spans="1:1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O98" s="70" t="s">
        <v>139</v>
      </c>
      <c r="P98" s="71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3" t="s">
        <v>140</v>
      </c>
      <c r="P99" s="24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1" t="s">
        <v>141</v>
      </c>
      <c r="P100" s="32">
        <f>P99/P103</f>
        <v>7.2111474523233257E-2</v>
      </c>
    </row>
    <row r="101" spans="1:1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O101" s="23" t="s">
        <v>142</v>
      </c>
      <c r="P101" s="37" cm="1">
        <f t="array" ref="P101">_FV(A1,"Market cap",TRUE)</f>
        <v>20293090000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1" t="s">
        <v>143</v>
      </c>
      <c r="P102" s="32">
        <f>P101/P103</f>
        <v>0.9278885254767667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3" t="s">
        <v>144</v>
      </c>
      <c r="P103" s="38">
        <f>P99+P101</f>
        <v>21870181000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70" t="s">
        <v>145</v>
      </c>
      <c r="P104" s="71"/>
    </row>
    <row r="105" spans="1:16" ht="21" thickTop="1" x14ac:dyDescent="0.25">
      <c r="A105" s="14" t="s">
        <v>107</v>
      </c>
      <c r="B105" s="1"/>
      <c r="C105" s="15">
        <f>(C106/B106)-1</f>
        <v>-0.37859204417116321</v>
      </c>
      <c r="D105" s="15">
        <f>(D106/C106)-1</f>
        <v>2.9438610662358644</v>
      </c>
      <c r="E105" s="15">
        <f>(E106/D106)-1</f>
        <v>0.23138760880696374</v>
      </c>
      <c r="F105" s="15">
        <f>(F106/E106)-1</f>
        <v>-4.2673292028774568E-2</v>
      </c>
      <c r="G105" s="15">
        <f t="shared" ref="G105:H105" si="26">(G106/F106)-1</f>
        <v>-0.53209325558415044</v>
      </c>
      <c r="H105" s="15">
        <f t="shared" si="26"/>
        <v>-7.7071246228823442E-2</v>
      </c>
      <c r="I105" s="60">
        <v>86291000</v>
      </c>
      <c r="J105" s="60">
        <v>99453000</v>
      </c>
      <c r="K105" s="60">
        <v>153200000</v>
      </c>
      <c r="L105" s="60">
        <v>316100000</v>
      </c>
      <c r="M105" s="60">
        <v>436700000</v>
      </c>
      <c r="N105" s="15"/>
      <c r="O105" s="25" t="s">
        <v>108</v>
      </c>
      <c r="P105" s="26">
        <f>(P100*P92)+(P102*P97)</f>
        <v>7.8489260455611512E-2</v>
      </c>
    </row>
    <row r="106" spans="1:16" ht="19" x14ac:dyDescent="0.25">
      <c r="A106" s="5" t="s">
        <v>90</v>
      </c>
      <c r="B106" s="1">
        <v>-31876000</v>
      </c>
      <c r="C106" s="1">
        <v>-19808000</v>
      </c>
      <c r="D106" s="1">
        <v>-78120000</v>
      </c>
      <c r="E106" s="1">
        <v>-96196000</v>
      </c>
      <c r="F106" s="1">
        <v>-92091000</v>
      </c>
      <c r="G106" s="1">
        <v>-43090000</v>
      </c>
      <c r="H106" s="1">
        <v>-39769000</v>
      </c>
      <c r="I106" s="39">
        <f>H106*(1+$P$106)</f>
        <v>-52291853.058278427</v>
      </c>
      <c r="J106" s="39">
        <f t="shared" ref="J106:M106" si="27">I106*(1+$P$106)</f>
        <v>-68758025.001095906</v>
      </c>
      <c r="K106" s="39">
        <f t="shared" si="27"/>
        <v>-90409226.783040598</v>
      </c>
      <c r="L106" s="39">
        <f t="shared" si="27"/>
        <v>-118878171.4916475</v>
      </c>
      <c r="M106" s="39">
        <f t="shared" si="27"/>
        <v>-156311696.93676114</v>
      </c>
      <c r="N106" s="40" t="s">
        <v>146</v>
      </c>
      <c r="O106" s="41" t="s">
        <v>147</v>
      </c>
      <c r="P106" s="42">
        <f>(SUM(I4:M4)/5)</f>
        <v>0.31488981513939063</v>
      </c>
    </row>
    <row r="107" spans="1:16" ht="19" x14ac:dyDescent="0.25">
      <c r="A107" s="5"/>
      <c r="B107" s="13"/>
      <c r="C107" s="13"/>
      <c r="D107" s="13"/>
      <c r="E107" s="13"/>
      <c r="F107" s="13"/>
      <c r="G107" s="13"/>
      <c r="H107" s="13"/>
      <c r="I107" s="40"/>
      <c r="J107" s="40"/>
      <c r="K107" s="40"/>
      <c r="L107" s="40"/>
      <c r="M107" s="59">
        <f>M105*(1+P107)/(P108-P107)</f>
        <v>8368362100.8643198</v>
      </c>
      <c r="N107" s="44" t="s">
        <v>148</v>
      </c>
      <c r="O107" s="45" t="s">
        <v>149</v>
      </c>
      <c r="P107" s="46">
        <v>2.5000000000000001E-2</v>
      </c>
    </row>
    <row r="108" spans="1:16" ht="19" x14ac:dyDescent="0.25">
      <c r="I108" s="43">
        <f t="shared" ref="I108:K108" si="28">I107+I106</f>
        <v>-52291853.058278427</v>
      </c>
      <c r="J108" s="43">
        <f t="shared" si="28"/>
        <v>-68758025.001095906</v>
      </c>
      <c r="K108" s="43">
        <f t="shared" si="28"/>
        <v>-90409226.783040598</v>
      </c>
      <c r="L108" s="43">
        <f>L107+L106</f>
        <v>-118878171.4916475</v>
      </c>
      <c r="M108" s="59">
        <f>M107+M105</f>
        <v>8805062100.8643188</v>
      </c>
      <c r="N108" s="44" t="s">
        <v>144</v>
      </c>
      <c r="O108" s="47" t="s">
        <v>150</v>
      </c>
      <c r="P108" s="48">
        <f>P105</f>
        <v>7.8489260455611512E-2</v>
      </c>
    </row>
    <row r="109" spans="1:16" ht="19" x14ac:dyDescent="0.25">
      <c r="I109" s="66" t="s">
        <v>151</v>
      </c>
      <c r="J109" s="67"/>
    </row>
    <row r="110" spans="1:16" ht="20" x14ac:dyDescent="0.25">
      <c r="I110" s="49" t="s">
        <v>152</v>
      </c>
      <c r="J110" s="37">
        <f>NPV(P108,I108,J108,K108,L108,M108)</f>
        <v>5767125034.361989</v>
      </c>
    </row>
    <row r="111" spans="1:16" ht="20" x14ac:dyDescent="0.25">
      <c r="I111" s="49" t="s">
        <v>153</v>
      </c>
      <c r="J111" s="37">
        <f>H40</f>
        <v>1649937000</v>
      </c>
    </row>
    <row r="112" spans="1:16" ht="20" x14ac:dyDescent="0.25">
      <c r="I112" s="49" t="s">
        <v>140</v>
      </c>
      <c r="J112" s="37">
        <f>P99</f>
        <v>1577091000</v>
      </c>
    </row>
    <row r="113" spans="9:10" ht="20" x14ac:dyDescent="0.25">
      <c r="I113" s="49" t="s">
        <v>154</v>
      </c>
      <c r="J113" s="37">
        <f>J110+J111-J112</f>
        <v>5839971034.361989</v>
      </c>
    </row>
    <row r="114" spans="9:10" ht="20" x14ac:dyDescent="0.25">
      <c r="I114" s="49" t="s">
        <v>160</v>
      </c>
      <c r="J114" s="50" cm="1">
        <f t="array" ref="J114">_FV(A1,"Shares outstanding",TRUE)</f>
        <v>331911800</v>
      </c>
    </row>
    <row r="115" spans="9:10" ht="20" x14ac:dyDescent="0.25">
      <c r="I115" s="51" t="s">
        <v>155</v>
      </c>
      <c r="J115" s="56">
        <f>J113/J114</f>
        <v>17.594948520546691</v>
      </c>
    </row>
    <row r="116" spans="9:10" ht="20" x14ac:dyDescent="0.25">
      <c r="I116" s="49" t="s">
        <v>156</v>
      </c>
      <c r="J116" s="52" cm="1">
        <f t="array" ref="J116">_FV(A1,"Price")</f>
        <v>61.14</v>
      </c>
    </row>
    <row r="117" spans="9:10" ht="20" x14ac:dyDescent="0.25">
      <c r="I117" s="53" t="s">
        <v>157</v>
      </c>
      <c r="J117" s="54">
        <f>J115/J116-1</f>
        <v>-0.71221870264071496</v>
      </c>
    </row>
    <row r="118" spans="9:10" ht="20" x14ac:dyDescent="0.25">
      <c r="I118" s="53" t="s">
        <v>158</v>
      </c>
      <c r="J118" s="55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2023-05-29T10:11:59Z</dcterms:modified>
</cp:coreProperties>
</file>