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3597128-067B-5B40-A7CF-44677147DF57}" xr6:coauthVersionLast="47" xr6:coauthVersionMax="47" xr10:uidLastSave="{00000000-0000-0000-0000-000000000000}"/>
  <bookViews>
    <workbookView xWindow="0" yWindow="500" windowWidth="272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8" i="1" l="1"/>
  <c r="J107" i="1"/>
  <c r="G114" i="1" a="1"/>
  <c r="G114" i="1" s="1"/>
  <c r="G116" i="1" a="1"/>
  <c r="G116" i="1" s="1"/>
  <c r="G111" i="1"/>
  <c r="M101" i="1" a="1"/>
  <c r="M101" i="1" s="1"/>
  <c r="M95" i="1" a="1"/>
  <c r="M95" i="1" s="1"/>
  <c r="M97" i="1" s="1"/>
  <c r="M90" i="1"/>
  <c r="M89" i="1"/>
  <c r="M91" i="1" s="1"/>
  <c r="M87" i="1"/>
  <c r="M86" i="1"/>
  <c r="M99" i="1" s="1"/>
  <c r="M85" i="1"/>
  <c r="M88" i="1" s="1"/>
  <c r="M92" i="1" s="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l="1"/>
  <c r="F106" i="1" s="1"/>
  <c r="F108" i="1" s="1"/>
  <c r="M103" i="1"/>
  <c r="M102" i="1" s="1"/>
  <c r="G112" i="1"/>
  <c r="M16" i="1"/>
  <c r="N16" i="1"/>
  <c r="L16" i="1"/>
  <c r="M100" i="1" l="1"/>
  <c r="G106" i="1"/>
  <c r="G108" i="1" s="1"/>
  <c r="M105" i="1"/>
  <c r="M108" i="1" s="1"/>
  <c r="H106" i="1" l="1"/>
  <c r="I106" i="1" s="1"/>
  <c r="H108" i="1" l="1"/>
  <c r="J106" i="1"/>
  <c r="I108" i="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<sst xmlns="http://schemas.openxmlformats.org/spreadsheetml/2006/main" count="273" uniqueCount="160">
  <si>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</si>
  <si>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</si>
  <si>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</si>
  <si>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</si>
  <si>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</si>
  <si>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</si>
  <si>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</si>
  <si>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</si>
  <si>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</si>
  <si>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</si>
  <si>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</si>
  <si>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</si>
  <si>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</si>
  <si>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</si>
  <si>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</si>
  <si>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</si>
  <si>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</si>
  <si>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</si>
  <si>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</si>
  <si>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</si>
  <si>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</si>
  <si>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</si>
  <si>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</si>
  <si>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</si>
  <si>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</si>
  <si>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</si>
  <si>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</si>
  <si>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</si>
  <si>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</si>
  <si>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</si>
  <si>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</si>
  <si>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</si>
  <si>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</si>
  <si>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</si>
  <si>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</si>
  <si>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</si>
  <si>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</si>
  <si>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</si>
  <si>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</si>
  <si>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</si>
  <si>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</si>
  <si>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</si>
  <si>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</si>
  <si>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</si>
  <si>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</si>
  <si>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</si>
  <si>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</si>
  <si>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</si>
  <si>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</si>
  <si>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</si>
  <si>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</si>
  <si>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</si>
  <si>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</si>
  <si>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</si>
  <si>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</si>
  <si>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</si>
  <si>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</si>
  <si>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</si>
  <si>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</si>
  <si>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</si>
  <si>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</si>
  <si>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</si>
  <si>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</si>
  <si>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</si>
  <si>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</si>
  <si>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</si>
  <si>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</si>
  <si>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</si>
  <si>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</si>
  <si>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</si>
  <si>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</si>
  <si>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</si>
  <si>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</si>
  <si>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</si>
  <si>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</si>
  <si>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</si>
  <si>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</si>
  <si>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</si>
  <si>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</si>
  <si>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</si>
  <si>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</si>
  <si>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</si>
  <si>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</si>
  <si>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</si>
  <si>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</si>
  <si>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</si>
  <si>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</si>
  <si>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</si>
  <si>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</si>
  <si>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</si>
  <si>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</si>
  <si>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</si>
  <si>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</si>
  <si>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</si>
  <si>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</si>
  <si>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</si>
  <si>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</si>
  <si>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</si>
  <si>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</si>
  <si>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</si>
  <si>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</si>
  <si>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</si>
  <si>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</si>
  <si>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</si>
  <si>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</si>
  <si>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</si>
  <si>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</si>
  <si>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</si>
  <si>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</si>
  <si>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</si>
  <si>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</si>
  <si>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</si>
  <si>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</si>
  <si>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</si>
  <si>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</si>
  <si>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</si>
  <si>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</si>
  <si>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</si>
  <si>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</si>
  <si>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</si>
  <si>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</si>
  <si>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(3yr)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</si>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</sst>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DUOL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5084611682827609E-2"/>
          <c:y val="0.11174846986596723"/>
          <c:w val="0.87663374285081574"/>
          <c:h val="0.7683983344659065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70760000</c:v>
                </c:pt>
                <c:pt idx="1">
                  <c:v>161696000</c:v>
                </c:pt>
                <c:pt idx="2">
                  <c:v>250772000</c:v>
                </c:pt>
                <c:pt idx="3">
                  <c:v>369495000</c:v>
                </c:pt>
              </c:numCache>
            </c:numRef>
          </c:val>
          <c:extLst>
            <c:ext xmlns:c16="http://schemas.microsoft.com/office/drawing/2014/chart" uri="{C3380CC4-5D6E-409C-BE32-E72D297353CC}">
              <c16:uniqueId val="{00000000-039E-B14D-86F9-BDD475EFA44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-12303000</c:v>
                </c:pt>
                <c:pt idx="1">
                  <c:v>-13452000</c:v>
                </c:pt>
                <c:pt idx="2">
                  <c:v>-57232000</c:v>
                </c:pt>
                <c:pt idx="3">
                  <c:v>-61001000</c:v>
                </c:pt>
              </c:numCache>
            </c:numRef>
          </c:val>
          <c:extLst>
            <c:ext xmlns:c16="http://schemas.microsoft.com/office/drawing/2014/chart" uri="{C3380CC4-5D6E-409C-BE32-E72D297353CC}">
              <c16:uniqueId val="{00000001-039E-B14D-86F9-BDD475EFA44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-3094000</c:v>
                </c:pt>
                <c:pt idx="1">
                  <c:v>13694000</c:v>
                </c:pt>
                <c:pt idx="2">
                  <c:v>2964000</c:v>
                </c:pt>
                <c:pt idx="3">
                  <c:v>43532000</c:v>
                </c:pt>
              </c:numCache>
            </c:numRef>
          </c:val>
          <c:extLst>
            <c:ext xmlns:c16="http://schemas.microsoft.com/office/drawing/2014/chart" uri="{C3380CC4-5D6E-409C-BE32-E72D297353CC}">
              <c16:uniqueId val="{00000002-039E-B14D-86F9-BDD475EFA44C}"/>
            </c:ext>
          </c:extLst>
        </c:ser>
        <c:dLbls>
          <c:showLegendKey val="0"/>
          <c:showVal val="0"/>
          <c:showCatName val="0"/>
          <c:showSerName val="0"/>
          <c:showPercent val="0"/>
          <c:showBubbleSize val="0"/>
        </c:dLbls>
        <c:gapWidth val="100"/>
        <c:overlap val="-24"/>
        <c:axId val="337547071"/>
        <c:axId val="337548799"/>
      </c:barChart>
      <c:catAx>
        <c:axId val="3375470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548799"/>
        <c:crosses val="autoZero"/>
        <c:auto val="1"/>
        <c:lblAlgn val="ctr"/>
        <c:lblOffset val="100"/>
        <c:noMultiLvlLbl val="0"/>
      </c:catAx>
      <c:valAx>
        <c:axId val="33754879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547071"/>
        <c:crosses val="autoZero"/>
        <c:crossBetween val="between"/>
      </c:valAx>
      <c:spPr>
        <a:noFill/>
        <a:ln>
          <a:noFill/>
        </a:ln>
        <a:effectLst/>
      </c:spPr>
    </c:plotArea>
    <c:legend>
      <c:legendPos val="b"/>
      <c:layout>
        <c:manualLayout>
          <c:xMode val="edge"/>
          <c:yMode val="edge"/>
          <c:x val="0.34765498730283545"/>
          <c:y val="0.91726039740555954"/>
          <c:w val="0.30737223342844988"/>
          <c:h val="4.64687010858244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39687</xdr:colOff>
      <xdr:row>108</xdr:row>
      <xdr:rowOff>33337</xdr:rowOff>
    </xdr:from>
    <xdr:to>
      <xdr:col>12</xdr:col>
      <xdr:colOff>1571624</xdr:colOff>
      <xdr:row>133</xdr:row>
      <xdr:rowOff>15874</xdr:rowOff>
    </xdr:to>
    <xdr:graphicFrame macro="">
      <xdr:nvGraphicFramePr>
        <xdr:cNvPr id="2" name="Chart 1">
          <a:extLst>
            <a:ext uri="{FF2B5EF4-FFF2-40B4-BE49-F238E27FC236}">
              <a16:creationId xmlns:a16="http://schemas.microsoft.com/office/drawing/2014/main" id="{9F7C13C1-E6CC-65A9-B89C-BC3DA46191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0</v>
    <v>DUOLINGO, INC. (XNAS:DUOL)</v>
    <v>2</v>
    <v>3</v>
    <v>Finance</v>
    <v>4</v>
    <v>en-US</v>
    <v>c2mtim</v>
    <v>268435456</v>
    <v>1</v>
    <v>Powered by Refinitiv</v>
    <v>157.41999999999999</v>
    <v>64.73</v>
    <v>1.0349999999999999</v>
    <v>6.12</v>
    <v>4.2790999999999996E-2</v>
    <v>-1.1299999999999999</v>
    <v>-7.5770000000000004E-3</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151.97409999999999</v>
    <v>Software &amp; IT Services</v>
    <v>Stock</v>
    <v>45072.99978484922</v>
    <v>0</v>
    <v>142.37</v>
    <v>6122598000</v>
    <v>DUOLINGO, INC.</v>
    <v>DUOLINGO, INC.</v>
    <v>143.69</v>
    <v>143.02000000000001</v>
    <v>149.13999999999999</v>
    <v>148.01</v>
    <v>41052690</v>
    <v>DUOL</v>
    <v>DUOLINGO, INC. (XNAS:DUOL)</v>
    <v>507246</v>
    <v>730928</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2088/000156208823000052/0001562088-23-000052-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2088/000156208822000039/0001562088-22-000039-index.htm" TargetMode="External"/><Relationship Id="rId2" Type="http://schemas.openxmlformats.org/officeDocument/2006/relationships/hyperlink" Target="https://sec.gov/" TargetMode="External"/><Relationship Id="rId1" Type="http://schemas.openxmlformats.org/officeDocument/2006/relationships/hyperlink" Target="https://roic.ai/company/DUOL" TargetMode="External"/><Relationship Id="rId6" Type="http://schemas.openxmlformats.org/officeDocument/2006/relationships/hyperlink" Target="https://www.sec.gov/Archives/edgar/data/1562088/000156208822000039/0001562088-22-000039-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DUOL/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2088/000156208823000052/0001562088-23-00005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92" activePane="bottomRight" state="frozen"/>
      <selection pane="topRight"/>
      <selection pane="bottomLeft"/>
      <selection pane="bottomRight" activeCell="G125" sqref="G125"/>
    </sheetView>
  </sheetViews>
  <sheetFormatPr baseColWidth="10" defaultRowHeight="16" x14ac:dyDescent="0.2"/>
  <cols>
    <col min="1" max="1" width="50" customWidth="1"/>
    <col min="2" max="5" width="15" customWidth="1"/>
    <col min="6" max="14" width="20.83203125"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70760000</v>
      </c>
      <c r="C3" s="1">
        <v>161696000</v>
      </c>
      <c r="D3" s="1">
        <v>250772000</v>
      </c>
      <c r="E3" s="1">
        <v>369495000</v>
      </c>
      <c r="F3" s="29">
        <v>506000000</v>
      </c>
      <c r="G3" s="29">
        <v>627000000</v>
      </c>
      <c r="H3" s="29">
        <v>787200000</v>
      </c>
      <c r="I3" s="29">
        <v>950000000</v>
      </c>
      <c r="J3" s="29">
        <v>1100000000</v>
      </c>
      <c r="K3" s="19" t="s">
        <v>109</v>
      </c>
      <c r="L3" s="20" t="s">
        <v>110</v>
      </c>
      <c r="M3" s="20" t="s">
        <v>111</v>
      </c>
      <c r="N3" s="20" t="s">
        <v>112</v>
      </c>
    </row>
    <row r="4" spans="1:38" ht="19" x14ac:dyDescent="0.25">
      <c r="A4" s="14" t="s">
        <v>94</v>
      </c>
      <c r="B4" s="1"/>
      <c r="C4" s="15">
        <f>(C3/B3)-1</f>
        <v>1.2851328434143583</v>
      </c>
      <c r="D4" s="15">
        <f>(D3/C3)-1</f>
        <v>0.5508856125074213</v>
      </c>
      <c r="E4" s="15">
        <f>(E3/D3)-1</f>
        <v>0.47343004801173971</v>
      </c>
      <c r="F4" s="16">
        <f t="shared" ref="F4:J4" si="0">(F3/E3)-1</f>
        <v>0.36943666355431071</v>
      </c>
      <c r="G4" s="16">
        <f t="shared" si="0"/>
        <v>0.23913043478260865</v>
      </c>
      <c r="H4" s="16">
        <f t="shared" si="0"/>
        <v>0.25550239234449768</v>
      </c>
      <c r="I4" s="16">
        <f t="shared" si="0"/>
        <v>0.20680894308943087</v>
      </c>
      <c r="J4" s="16">
        <f t="shared" si="0"/>
        <v>0.15789473684210531</v>
      </c>
      <c r="K4" s="17">
        <f>(E4+D4+C4)/3</f>
        <v>0.7698161679778398</v>
      </c>
      <c r="L4" s="17">
        <f>(E20+D20+C20)/3</f>
        <v>1.137927087966031</v>
      </c>
      <c r="M4" s="17">
        <f>(E29+D29+C29)/3</f>
        <v>1.02890773457879</v>
      </c>
      <c r="N4" s="17">
        <f>(E105+D105+C105)/3</f>
        <v>2.4924563203943428</v>
      </c>
      <c r="T4" s="16"/>
      <c r="U4" s="16"/>
      <c r="V4" s="16"/>
      <c r="W4" s="16"/>
      <c r="X4" s="16"/>
      <c r="Y4" s="16"/>
      <c r="Z4" s="16"/>
      <c r="AA4" s="16"/>
      <c r="AB4" s="16"/>
      <c r="AC4" s="16"/>
      <c r="AD4" s="16"/>
      <c r="AE4" s="16"/>
      <c r="AF4" s="16"/>
      <c r="AI4" s="18"/>
      <c r="AJ4" s="18"/>
      <c r="AK4" s="18"/>
      <c r="AL4" s="18"/>
    </row>
    <row r="5" spans="1:38" ht="19" x14ac:dyDescent="0.25">
      <c r="A5" s="5" t="s">
        <v>2</v>
      </c>
      <c r="B5" s="1">
        <v>20737000</v>
      </c>
      <c r="C5" s="1">
        <v>45987000</v>
      </c>
      <c r="D5" s="1">
        <v>69186000</v>
      </c>
      <c r="E5" s="1">
        <v>99431000</v>
      </c>
    </row>
    <row r="6" spans="1:38" ht="20" x14ac:dyDescent="0.25">
      <c r="A6" s="6" t="s">
        <v>3</v>
      </c>
      <c r="B6" s="10">
        <v>50023000</v>
      </c>
      <c r="C6" s="10">
        <v>115709000</v>
      </c>
      <c r="D6" s="10">
        <v>181586000</v>
      </c>
      <c r="E6" s="10">
        <v>270064000</v>
      </c>
      <c r="K6" s="19" t="s">
        <v>113</v>
      </c>
      <c r="L6" s="20" t="s">
        <v>114</v>
      </c>
      <c r="M6" s="20" t="s">
        <v>115</v>
      </c>
      <c r="N6" s="20" t="s">
        <v>116</v>
      </c>
    </row>
    <row r="7" spans="1:38" ht="19" x14ac:dyDescent="0.25">
      <c r="A7" s="5" t="s">
        <v>4</v>
      </c>
      <c r="B7" s="2">
        <v>0.70689999999999997</v>
      </c>
      <c r="C7" s="2">
        <v>0.71560000000000001</v>
      </c>
      <c r="D7" s="2">
        <v>0.72409999999999997</v>
      </c>
      <c r="E7" s="2">
        <v>0.73089999999999999</v>
      </c>
      <c r="K7" s="17">
        <f>E7</f>
        <v>0.73089999999999999</v>
      </c>
      <c r="L7" s="21">
        <f>E21</f>
        <v>-0.1651</v>
      </c>
      <c r="M7" s="21">
        <f>E30</f>
        <v>-0.18079999999999999</v>
      </c>
      <c r="N7" s="21">
        <f>E106/E3</f>
        <v>0.11781485541076334</v>
      </c>
    </row>
    <row r="8" spans="1:38" ht="19" x14ac:dyDescent="0.25">
      <c r="A8" s="5" t="s">
        <v>5</v>
      </c>
      <c r="B8" s="1">
        <v>31560000</v>
      </c>
      <c r="C8" s="1">
        <v>53024000</v>
      </c>
      <c r="D8" s="1">
        <v>103833000</v>
      </c>
      <c r="E8" s="1">
        <v>150444000</v>
      </c>
    </row>
    <row r="9" spans="1:38" ht="19" customHeight="1" x14ac:dyDescent="0.25">
      <c r="A9" s="14" t="s">
        <v>95</v>
      </c>
      <c r="B9" s="15">
        <f>B8/B3</f>
        <v>0.44601469756924816</v>
      </c>
      <c r="C9" s="15">
        <f t="shared" ref="C9:E9" si="1">C8/C3</f>
        <v>0.32792400554126261</v>
      </c>
      <c r="D9" s="15">
        <f t="shared" si="1"/>
        <v>0.41405340309125421</v>
      </c>
      <c r="E9" s="15">
        <f t="shared" si="1"/>
        <v>0.40716112531969312</v>
      </c>
      <c r="F9" s="15"/>
      <c r="G9" s="15"/>
      <c r="K9" s="19" t="s">
        <v>96</v>
      </c>
      <c r="L9" s="20" t="s">
        <v>97</v>
      </c>
      <c r="M9" s="20" t="s">
        <v>98</v>
      </c>
      <c r="N9" s="20" t="s">
        <v>99</v>
      </c>
    </row>
    <row r="10" spans="1:38" ht="19" x14ac:dyDescent="0.25">
      <c r="A10" s="5" t="s">
        <v>6</v>
      </c>
      <c r="B10" s="1">
        <v>16371000</v>
      </c>
      <c r="C10" s="1">
        <v>43713000</v>
      </c>
      <c r="D10" s="1">
        <v>78590000</v>
      </c>
      <c r="E10" s="1">
        <v>117848000</v>
      </c>
      <c r="K10" s="17">
        <f>E9</f>
        <v>0.40716112531969312</v>
      </c>
      <c r="L10" s="21">
        <f>E13</f>
        <v>0.50018268176835956</v>
      </c>
      <c r="M10" s="21">
        <f>E80</f>
        <v>0.19978619467110514</v>
      </c>
      <c r="N10" s="21">
        <f>E89</f>
        <v>1.505297771282426E-2</v>
      </c>
    </row>
    <row r="11" spans="1:38" ht="19" x14ac:dyDescent="0.25">
      <c r="A11" s="5" t="s">
        <v>7</v>
      </c>
      <c r="B11" s="1">
        <v>14989000</v>
      </c>
      <c r="C11" s="1">
        <v>34983000</v>
      </c>
      <c r="D11" s="1">
        <v>59170000</v>
      </c>
      <c r="E11" s="1">
        <v>66967000</v>
      </c>
    </row>
    <row r="12" spans="1:38" ht="20" x14ac:dyDescent="0.25">
      <c r="A12" s="5" t="s">
        <v>8</v>
      </c>
      <c r="B12" s="1">
        <v>31360000</v>
      </c>
      <c r="C12" s="1">
        <v>78696000</v>
      </c>
      <c r="D12" s="1">
        <v>137760000</v>
      </c>
      <c r="E12" s="1">
        <v>184815000</v>
      </c>
      <c r="K12" s="19" t="s">
        <v>117</v>
      </c>
      <c r="L12" s="20" t="s">
        <v>118</v>
      </c>
      <c r="M12" s="20" t="s">
        <v>119</v>
      </c>
      <c r="N12" s="20" t="s">
        <v>120</v>
      </c>
    </row>
    <row r="13" spans="1:38" ht="19" x14ac:dyDescent="0.25">
      <c r="A13" s="14" t="s">
        <v>100</v>
      </c>
      <c r="B13" s="15">
        <f>B12/B3</f>
        <v>0.44318824194460149</v>
      </c>
      <c r="C13" s="15">
        <f t="shared" ref="C13:E13" si="2">C12/C3</f>
        <v>0.48669107460914307</v>
      </c>
      <c r="D13" s="15">
        <f t="shared" si="2"/>
        <v>0.549343626880194</v>
      </c>
      <c r="E13" s="15">
        <f t="shared" si="2"/>
        <v>0.50018268176835956</v>
      </c>
      <c r="F13" s="15"/>
      <c r="G13" s="15"/>
      <c r="K13" s="17">
        <f>E28/E72</f>
        <v>-0.12324610111459974</v>
      </c>
      <c r="L13" s="21">
        <f>E28/E54</f>
        <v>-8.9394886177371416E-2</v>
      </c>
      <c r="M13" s="21">
        <f>E22/(E72+E56+E61)</f>
        <v>-0.11067182269421678</v>
      </c>
      <c r="N13" s="22">
        <f>E67/E72</f>
        <v>0.3786705972203262</v>
      </c>
    </row>
    <row r="14" spans="1:38" ht="19" x14ac:dyDescent="0.25">
      <c r="A14" s="5" t="s">
        <v>9</v>
      </c>
      <c r="B14" s="1" t="s">
        <v>92</v>
      </c>
      <c r="C14" s="1" t="s">
        <v>92</v>
      </c>
      <c r="D14" s="1" t="s">
        <v>92</v>
      </c>
      <c r="E14" s="1" t="s">
        <v>92</v>
      </c>
    </row>
    <row r="15" spans="1:38" ht="20" x14ac:dyDescent="0.25">
      <c r="A15" s="5" t="s">
        <v>10</v>
      </c>
      <c r="B15" s="1">
        <v>62920000</v>
      </c>
      <c r="C15" s="1">
        <v>131720000</v>
      </c>
      <c r="D15" s="1">
        <v>241593000</v>
      </c>
      <c r="E15" s="1">
        <v>335259000</v>
      </c>
      <c r="K15" s="19" t="s">
        <v>121</v>
      </c>
      <c r="L15" s="20" t="s">
        <v>122</v>
      </c>
      <c r="M15" s="20" t="s">
        <v>123</v>
      </c>
      <c r="N15" s="20" t="s">
        <v>124</v>
      </c>
    </row>
    <row r="16" spans="1:38" ht="19" x14ac:dyDescent="0.25">
      <c r="A16" s="5" t="s">
        <v>11</v>
      </c>
      <c r="B16" s="1">
        <v>83657000</v>
      </c>
      <c r="C16" s="1">
        <v>177707000</v>
      </c>
      <c r="D16" s="1">
        <v>310779000</v>
      </c>
      <c r="E16" s="1">
        <v>434690000</v>
      </c>
      <c r="K16" s="30">
        <f>(E35+D35+C35)/3</f>
        <v>-8.7773900468420887E-2</v>
      </c>
      <c r="L16" s="31">
        <f>M101/E3</f>
        <v>16.570178216214021</v>
      </c>
      <c r="M16" s="31">
        <f>M101/E28</f>
        <v>-91.643311529883704</v>
      </c>
      <c r="N16" s="32">
        <f>M101/E106</f>
        <v>140.64591564825875</v>
      </c>
    </row>
    <row r="17" spans="1:11" ht="19" x14ac:dyDescent="0.25">
      <c r="A17" s="5" t="s">
        <v>12</v>
      </c>
      <c r="B17" s="1" t="s">
        <v>92</v>
      </c>
      <c r="C17" s="1" t="s">
        <v>92</v>
      </c>
      <c r="D17" s="1" t="s">
        <v>92</v>
      </c>
      <c r="E17" s="1">
        <v>0</v>
      </c>
    </row>
    <row r="18" spans="1:11" ht="20" x14ac:dyDescent="0.25">
      <c r="A18" s="5" t="s">
        <v>13</v>
      </c>
      <c r="B18" s="1">
        <v>1251000</v>
      </c>
      <c r="C18" s="1">
        <v>2256000</v>
      </c>
      <c r="D18" s="1">
        <v>2726000</v>
      </c>
      <c r="E18" s="1">
        <v>4870000</v>
      </c>
      <c r="K18" s="19" t="s">
        <v>125</v>
      </c>
    </row>
    <row r="19" spans="1:11" ht="19" x14ac:dyDescent="0.25">
      <c r="A19" s="6" t="s">
        <v>14</v>
      </c>
      <c r="B19" s="10">
        <v>-12303000</v>
      </c>
      <c r="C19" s="10">
        <v>-13452000</v>
      </c>
      <c r="D19" s="10">
        <v>-57232000</v>
      </c>
      <c r="E19" s="10">
        <v>-61001000</v>
      </c>
      <c r="K19" s="33">
        <f>E40-E56-E61</f>
        <v>561174000</v>
      </c>
    </row>
    <row r="20" spans="1:11" ht="19" customHeight="1" x14ac:dyDescent="0.25">
      <c r="A20" s="14" t="s">
        <v>101</v>
      </c>
      <c r="B20" s="1"/>
      <c r="C20" s="15">
        <f>(C19/B19)-1</f>
        <v>9.3391855644964661E-2</v>
      </c>
      <c r="D20" s="15">
        <f>(D19/C19)-1</f>
        <v>3.2545346416889682</v>
      </c>
      <c r="E20" s="15">
        <f>(E19/D19)-1</f>
        <v>6.5854766564160006E-2</v>
      </c>
    </row>
    <row r="21" spans="1:11" ht="19" x14ac:dyDescent="0.25">
      <c r="A21" s="5" t="s">
        <v>15</v>
      </c>
      <c r="B21" s="2">
        <v>-0.1739</v>
      </c>
      <c r="C21" s="2">
        <v>-8.3199999999999996E-2</v>
      </c>
      <c r="D21" s="2">
        <v>-0.22819999999999999</v>
      </c>
      <c r="E21" s="2">
        <v>-0.1651</v>
      </c>
    </row>
    <row r="22" spans="1:11" ht="19" x14ac:dyDescent="0.25">
      <c r="A22" s="6" t="s">
        <v>16</v>
      </c>
      <c r="B22" s="10">
        <v>-14125000</v>
      </c>
      <c r="C22" s="10">
        <v>-16011000</v>
      </c>
      <c r="D22" s="10">
        <v>-60007000</v>
      </c>
      <c r="E22" s="10">
        <v>-65195000</v>
      </c>
    </row>
    <row r="23" spans="1:11" ht="19" x14ac:dyDescent="0.25">
      <c r="A23" s="5" t="s">
        <v>17</v>
      </c>
      <c r="B23" s="2">
        <v>-0.1996</v>
      </c>
      <c r="C23" s="2">
        <v>-9.9000000000000005E-2</v>
      </c>
      <c r="D23" s="2">
        <v>-0.23930000000000001</v>
      </c>
      <c r="E23" s="2">
        <v>-0.1764</v>
      </c>
    </row>
    <row r="24" spans="1:11" ht="19" x14ac:dyDescent="0.25">
      <c r="A24" s="5" t="s">
        <v>18</v>
      </c>
      <c r="B24" s="1">
        <v>571000</v>
      </c>
      <c r="C24" s="1">
        <v>303000</v>
      </c>
      <c r="D24" s="1">
        <v>49000</v>
      </c>
      <c r="E24" s="1">
        <v>-676000</v>
      </c>
    </row>
    <row r="25" spans="1:11" ht="19" x14ac:dyDescent="0.25">
      <c r="A25" s="6" t="s">
        <v>19</v>
      </c>
      <c r="B25" s="10">
        <v>-13554000</v>
      </c>
      <c r="C25" s="10">
        <v>-15708000</v>
      </c>
      <c r="D25" s="10">
        <v>-59958000</v>
      </c>
      <c r="E25" s="10">
        <v>-65871000</v>
      </c>
    </row>
    <row r="26" spans="1:11" ht="19" x14ac:dyDescent="0.25">
      <c r="A26" s="5" t="s">
        <v>20</v>
      </c>
      <c r="B26" s="2">
        <v>-0.1915</v>
      </c>
      <c r="C26" s="2">
        <v>-9.7100000000000006E-2</v>
      </c>
      <c r="D26" s="2">
        <v>-0.23910000000000001</v>
      </c>
      <c r="E26" s="2">
        <v>-0.17829999999999999</v>
      </c>
    </row>
    <row r="27" spans="1:11" ht="19" x14ac:dyDescent="0.25">
      <c r="A27" s="5" t="s">
        <v>21</v>
      </c>
      <c r="B27" s="1" t="s">
        <v>92</v>
      </c>
      <c r="C27" s="1">
        <v>68000</v>
      </c>
      <c r="D27" s="1">
        <v>177000</v>
      </c>
      <c r="E27" s="1">
        <v>938000</v>
      </c>
    </row>
    <row r="28" spans="1:11" ht="20" thickBot="1" x14ac:dyDescent="0.3">
      <c r="A28" s="7" t="s">
        <v>22</v>
      </c>
      <c r="B28" s="11">
        <v>-13554000</v>
      </c>
      <c r="C28" s="11">
        <v>-15776000</v>
      </c>
      <c r="D28" s="11">
        <v>-60135000</v>
      </c>
      <c r="E28" s="11">
        <v>-66809000</v>
      </c>
    </row>
    <row r="29" spans="1:11" ht="20" customHeight="1" thickTop="1" x14ac:dyDescent="0.25">
      <c r="A29" s="14" t="s">
        <v>102</v>
      </c>
      <c r="B29" s="1"/>
      <c r="C29" s="15">
        <f>(C28/B28)-1</f>
        <v>0.16393684521174556</v>
      </c>
      <c r="D29" s="15">
        <f>(D28/C28)-1</f>
        <v>2.8118027383367141</v>
      </c>
      <c r="E29" s="15">
        <f>(E28/D28)-1</f>
        <v>0.11098362018791064</v>
      </c>
    </row>
    <row r="30" spans="1:11" ht="19" x14ac:dyDescent="0.25">
      <c r="A30" s="5" t="s">
        <v>23</v>
      </c>
      <c r="B30" s="2">
        <v>-0.1915</v>
      </c>
      <c r="C30" s="2">
        <v>-9.7600000000000006E-2</v>
      </c>
      <c r="D30" s="2">
        <v>-0.23980000000000001</v>
      </c>
      <c r="E30" s="2">
        <v>-0.18079999999999999</v>
      </c>
    </row>
    <row r="31" spans="1:11" ht="19" x14ac:dyDescent="0.25">
      <c r="A31" s="5" t="s">
        <v>24</v>
      </c>
      <c r="B31" s="12">
        <v>-0.43</v>
      </c>
      <c r="C31" s="12">
        <v>-0.5</v>
      </c>
      <c r="D31" s="12">
        <v>-2.57</v>
      </c>
      <c r="E31" s="12">
        <v>-2.85</v>
      </c>
    </row>
    <row r="32" spans="1:11" ht="19" x14ac:dyDescent="0.25">
      <c r="A32" s="5" t="s">
        <v>25</v>
      </c>
      <c r="B32" s="12">
        <v>-0.43</v>
      </c>
      <c r="C32" s="12">
        <v>-0.5</v>
      </c>
      <c r="D32" s="12">
        <v>-2.57</v>
      </c>
      <c r="E32" s="12">
        <v>-2.85</v>
      </c>
    </row>
    <row r="33" spans="1:5" ht="19" x14ac:dyDescent="0.25">
      <c r="A33" s="5" t="s">
        <v>26</v>
      </c>
      <c r="B33" s="1">
        <v>31809000</v>
      </c>
      <c r="C33" s="1">
        <v>31809000</v>
      </c>
      <c r="D33" s="1">
        <v>23433000</v>
      </c>
      <c r="E33" s="1">
        <v>23433000</v>
      </c>
    </row>
    <row r="34" spans="1:5" ht="19" x14ac:dyDescent="0.25">
      <c r="A34" s="5" t="s">
        <v>27</v>
      </c>
      <c r="B34" s="1">
        <v>31809000</v>
      </c>
      <c r="C34" s="1">
        <v>31809000</v>
      </c>
      <c r="D34" s="1">
        <v>23433000</v>
      </c>
      <c r="E34" s="1">
        <v>23433000</v>
      </c>
    </row>
    <row r="35" spans="1:5" ht="20" customHeight="1" x14ac:dyDescent="0.25">
      <c r="A35" s="14" t="s">
        <v>103</v>
      </c>
      <c r="B35" s="1"/>
      <c r="C35" s="23">
        <f>(C34-B34)/B34</f>
        <v>0</v>
      </c>
      <c r="D35" s="23">
        <f t="shared" ref="D35:E35" si="3">(D34-C34)/C34</f>
        <v>-0.26332170140526268</v>
      </c>
      <c r="E35" s="23">
        <f t="shared" si="3"/>
        <v>0</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59843000</v>
      </c>
      <c r="C38" s="1">
        <v>120490000</v>
      </c>
      <c r="D38" s="1">
        <v>553922000</v>
      </c>
      <c r="E38" s="1">
        <v>608180000</v>
      </c>
    </row>
    <row r="39" spans="1:5" ht="19" x14ac:dyDescent="0.25">
      <c r="A39" s="5" t="s">
        <v>31</v>
      </c>
      <c r="B39" s="1" t="s">
        <v>92</v>
      </c>
      <c r="C39" s="1" t="s">
        <v>92</v>
      </c>
      <c r="D39" s="1" t="s">
        <v>92</v>
      </c>
      <c r="E39" s="1" t="s">
        <v>92</v>
      </c>
    </row>
    <row r="40" spans="1:5" ht="19" x14ac:dyDescent="0.25">
      <c r="A40" s="5" t="s">
        <v>32</v>
      </c>
      <c r="B40" s="1">
        <v>59843000</v>
      </c>
      <c r="C40" s="1">
        <v>120490000</v>
      </c>
      <c r="D40" s="1">
        <v>553922000</v>
      </c>
      <c r="E40" s="1">
        <v>608180000</v>
      </c>
    </row>
    <row r="41" spans="1:5" ht="19" x14ac:dyDescent="0.25">
      <c r="A41" s="5" t="s">
        <v>33</v>
      </c>
      <c r="B41" s="1">
        <v>10005000</v>
      </c>
      <c r="C41" s="1">
        <v>20450000</v>
      </c>
      <c r="D41" s="1">
        <v>33163000</v>
      </c>
      <c r="E41" s="1">
        <v>46728000</v>
      </c>
    </row>
    <row r="42" spans="1:5" ht="19" x14ac:dyDescent="0.25">
      <c r="A42" s="5" t="s">
        <v>34</v>
      </c>
      <c r="B42" s="1" t="s">
        <v>92</v>
      </c>
      <c r="C42" s="1" t="s">
        <v>92</v>
      </c>
      <c r="D42" s="1" t="s">
        <v>92</v>
      </c>
      <c r="E42" s="1" t="s">
        <v>92</v>
      </c>
    </row>
    <row r="43" spans="1:5" ht="19" x14ac:dyDescent="0.25">
      <c r="A43" s="5" t="s">
        <v>35</v>
      </c>
      <c r="B43" s="1">
        <v>9075000</v>
      </c>
      <c r="C43" s="1">
        <v>17440000</v>
      </c>
      <c r="D43" s="1">
        <v>32186000</v>
      </c>
      <c r="E43" s="1" t="s">
        <v>92</v>
      </c>
    </row>
    <row r="44" spans="1:5" ht="19" x14ac:dyDescent="0.25">
      <c r="A44" s="6" t="s">
        <v>36</v>
      </c>
      <c r="B44" s="10">
        <v>78923000</v>
      </c>
      <c r="C44" s="10">
        <v>158380000</v>
      </c>
      <c r="D44" s="10">
        <v>619271000</v>
      </c>
      <c r="E44" s="10">
        <v>654908000</v>
      </c>
    </row>
    <row r="45" spans="1:5" ht="19" x14ac:dyDescent="0.25">
      <c r="A45" s="5" t="s">
        <v>37</v>
      </c>
      <c r="B45" s="1">
        <v>13821000</v>
      </c>
      <c r="C45" s="1">
        <v>14501000</v>
      </c>
      <c r="D45" s="1">
        <v>36580000</v>
      </c>
      <c r="E45" s="1">
        <v>35477000</v>
      </c>
    </row>
    <row r="46" spans="1:5" ht="19" x14ac:dyDescent="0.25">
      <c r="A46" s="5" t="s">
        <v>38</v>
      </c>
      <c r="B46" s="1" t="s">
        <v>92</v>
      </c>
      <c r="C46" s="1" t="s">
        <v>92</v>
      </c>
      <c r="D46" s="1" t="s">
        <v>92</v>
      </c>
      <c r="E46" s="1">
        <v>4050000</v>
      </c>
    </row>
    <row r="47" spans="1:5" ht="19" x14ac:dyDescent="0.25">
      <c r="A47" s="5" t="s">
        <v>39</v>
      </c>
      <c r="B47" s="1">
        <v>1791000</v>
      </c>
      <c r="C47" s="1">
        <v>2296000</v>
      </c>
      <c r="D47" s="1">
        <v>4566000</v>
      </c>
      <c r="E47" s="1">
        <v>8497000</v>
      </c>
    </row>
    <row r="48" spans="1:5" ht="19" x14ac:dyDescent="0.25">
      <c r="A48" s="5" t="s">
        <v>40</v>
      </c>
      <c r="B48" s="1">
        <v>1791000</v>
      </c>
      <c r="C48" s="1">
        <v>2296000</v>
      </c>
      <c r="D48" s="1">
        <v>4566000</v>
      </c>
      <c r="E48" s="1">
        <v>12547000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v>633000</v>
      </c>
    </row>
    <row r="51" spans="1:5" ht="19" x14ac:dyDescent="0.25">
      <c r="A51" s="5" t="s">
        <v>43</v>
      </c>
      <c r="B51" s="1">
        <v>524000</v>
      </c>
      <c r="C51" s="1">
        <v>562000</v>
      </c>
      <c r="D51" s="1">
        <v>894000</v>
      </c>
      <c r="E51" s="1">
        <v>1507000</v>
      </c>
    </row>
    <row r="52" spans="1:5" ht="19" x14ac:dyDescent="0.25">
      <c r="A52" s="5" t="s">
        <v>44</v>
      </c>
      <c r="B52" s="1">
        <v>16136000</v>
      </c>
      <c r="C52" s="1">
        <v>17359000</v>
      </c>
      <c r="D52" s="1">
        <v>42040000</v>
      </c>
      <c r="E52" s="1">
        <v>50164000</v>
      </c>
    </row>
    <row r="53" spans="1:5" ht="19" x14ac:dyDescent="0.25">
      <c r="A53" s="5" t="s">
        <v>45</v>
      </c>
      <c r="B53" s="1" t="s">
        <v>92</v>
      </c>
      <c r="C53" s="1" t="s">
        <v>92</v>
      </c>
      <c r="D53" s="1" t="s">
        <v>92</v>
      </c>
      <c r="E53" s="1">
        <v>42275000</v>
      </c>
    </row>
    <row r="54" spans="1:5" ht="20" thickBot="1" x14ac:dyDescent="0.3">
      <c r="A54" s="7" t="s">
        <v>46</v>
      </c>
      <c r="B54" s="11">
        <v>95059000</v>
      </c>
      <c r="C54" s="11">
        <v>175739000</v>
      </c>
      <c r="D54" s="11">
        <v>661311000</v>
      </c>
      <c r="E54" s="11">
        <v>747347000</v>
      </c>
    </row>
    <row r="55" spans="1:5" ht="20" thickTop="1" x14ac:dyDescent="0.25">
      <c r="A55" s="5" t="s">
        <v>47</v>
      </c>
      <c r="B55" s="1">
        <v>3811000</v>
      </c>
      <c r="C55" s="1">
        <v>2196000</v>
      </c>
      <c r="D55" s="1">
        <v>7818000</v>
      </c>
      <c r="E55" s="1">
        <v>1177000</v>
      </c>
    </row>
    <row r="56" spans="1:5" ht="19" x14ac:dyDescent="0.25">
      <c r="A56" s="5" t="s">
        <v>48</v>
      </c>
      <c r="B56" s="1">
        <v>974000</v>
      </c>
      <c r="C56" s="1">
        <v>1111000</v>
      </c>
      <c r="D56" s="1">
        <v>3336000</v>
      </c>
      <c r="E56" s="1">
        <v>23503000</v>
      </c>
    </row>
    <row r="57" spans="1:5" ht="19" x14ac:dyDescent="0.25">
      <c r="A57" s="5" t="s">
        <v>49</v>
      </c>
      <c r="B57" s="1">
        <v>23000</v>
      </c>
      <c r="C57" s="1">
        <v>2369000</v>
      </c>
      <c r="D57" s="1">
        <v>2432000</v>
      </c>
      <c r="E57" s="1">
        <v>1069000</v>
      </c>
    </row>
    <row r="58" spans="1:5" ht="19" x14ac:dyDescent="0.25">
      <c r="A58" s="5" t="s">
        <v>50</v>
      </c>
      <c r="B58" s="1">
        <v>26307000</v>
      </c>
      <c r="C58" s="1">
        <v>54792000</v>
      </c>
      <c r="D58" s="1">
        <v>98267000</v>
      </c>
      <c r="E58" s="1">
        <v>157550000</v>
      </c>
    </row>
    <row r="59" spans="1:5" ht="19" x14ac:dyDescent="0.25">
      <c r="A59" s="5" t="s">
        <v>51</v>
      </c>
      <c r="B59" s="1">
        <v>992000</v>
      </c>
      <c r="C59" s="1">
        <v>5222000</v>
      </c>
      <c r="D59" s="1">
        <v>7278000</v>
      </c>
      <c r="E59" s="1">
        <v>-1069000</v>
      </c>
    </row>
    <row r="60" spans="1:5" ht="19" x14ac:dyDescent="0.25">
      <c r="A60" s="6" t="s">
        <v>52</v>
      </c>
      <c r="B60" s="10">
        <v>32107000</v>
      </c>
      <c r="C60" s="10">
        <v>65690000</v>
      </c>
      <c r="D60" s="10">
        <v>119131000</v>
      </c>
      <c r="E60" s="10">
        <v>182230000</v>
      </c>
    </row>
    <row r="61" spans="1:5" ht="19" x14ac:dyDescent="0.25">
      <c r="A61" s="5" t="s">
        <v>53</v>
      </c>
      <c r="B61" s="1">
        <v>9242000</v>
      </c>
      <c r="C61" s="1">
        <v>8131000</v>
      </c>
      <c r="D61" s="1">
        <v>29124000</v>
      </c>
      <c r="E61" s="1">
        <v>23503000</v>
      </c>
    </row>
    <row r="62" spans="1:5" ht="19" x14ac:dyDescent="0.25">
      <c r="A62" s="5" t="s">
        <v>50</v>
      </c>
      <c r="B62" s="1" t="s">
        <v>92</v>
      </c>
      <c r="C62" s="1" t="s">
        <v>92</v>
      </c>
      <c r="D62" s="1" t="s">
        <v>92</v>
      </c>
      <c r="E62" s="1" t="s">
        <v>92</v>
      </c>
    </row>
    <row r="63" spans="1:5" ht="19" x14ac:dyDescent="0.25">
      <c r="A63" s="5" t="s">
        <v>54</v>
      </c>
      <c r="B63" s="1" t="s">
        <v>92</v>
      </c>
      <c r="C63" s="1" t="s">
        <v>92</v>
      </c>
      <c r="D63" s="1" t="s">
        <v>92</v>
      </c>
      <c r="E63" s="1" t="s">
        <v>92</v>
      </c>
    </row>
    <row r="64" spans="1:5" ht="19" x14ac:dyDescent="0.25">
      <c r="A64" s="5" t="s">
        <v>55</v>
      </c>
      <c r="B64" s="1">
        <v>137686000</v>
      </c>
      <c r="C64" s="1">
        <v>182609000</v>
      </c>
      <c r="D64" s="1" t="s">
        <v>92</v>
      </c>
      <c r="E64" s="1" t="s">
        <v>92</v>
      </c>
    </row>
    <row r="65" spans="1:5" ht="19" x14ac:dyDescent="0.25">
      <c r="A65" s="5" t="s">
        <v>56</v>
      </c>
      <c r="B65" s="1">
        <v>146928000</v>
      </c>
      <c r="C65" s="1">
        <v>190740000</v>
      </c>
      <c r="D65" s="1">
        <v>29124000</v>
      </c>
      <c r="E65" s="1">
        <v>23503000</v>
      </c>
    </row>
    <row r="66" spans="1:5" ht="19" x14ac:dyDescent="0.25">
      <c r="A66" s="5" t="s">
        <v>57</v>
      </c>
      <c r="B66" s="1" t="s">
        <v>92</v>
      </c>
      <c r="C66" s="1" t="s">
        <v>92</v>
      </c>
      <c r="D66" s="1" t="s">
        <v>92</v>
      </c>
      <c r="E66" s="1" t="s">
        <v>92</v>
      </c>
    </row>
    <row r="67" spans="1:5" ht="19" x14ac:dyDescent="0.25">
      <c r="A67" s="6" t="s">
        <v>58</v>
      </c>
      <c r="B67" s="10">
        <v>179035000</v>
      </c>
      <c r="C67" s="10">
        <v>256430000</v>
      </c>
      <c r="D67" s="10">
        <v>148255000</v>
      </c>
      <c r="E67" s="10">
        <v>205269000</v>
      </c>
    </row>
    <row r="68" spans="1:5" ht="19" x14ac:dyDescent="0.25">
      <c r="A68" s="5" t="s">
        <v>59</v>
      </c>
      <c r="B68" s="1">
        <v>1000</v>
      </c>
      <c r="C68" s="1">
        <v>1000</v>
      </c>
      <c r="D68" s="1">
        <v>4000</v>
      </c>
      <c r="E68" s="1">
        <v>4000</v>
      </c>
    </row>
    <row r="69" spans="1:5" ht="19" x14ac:dyDescent="0.25">
      <c r="A69" s="5" t="s">
        <v>60</v>
      </c>
      <c r="B69" s="1">
        <v>-95003000</v>
      </c>
      <c r="C69" s="1">
        <v>-110779000</v>
      </c>
      <c r="D69" s="1">
        <v>-170914000</v>
      </c>
      <c r="E69" s="1">
        <v>-237723000</v>
      </c>
    </row>
    <row r="70" spans="1:5" ht="19" x14ac:dyDescent="0.25">
      <c r="A70" s="5" t="s">
        <v>61</v>
      </c>
      <c r="B70" s="1">
        <v>-1444000</v>
      </c>
      <c r="C70" s="1">
        <v>-3067000</v>
      </c>
      <c r="D70" s="1" t="s">
        <v>92</v>
      </c>
      <c r="E70" s="1" t="s">
        <v>92</v>
      </c>
    </row>
    <row r="71" spans="1:5" ht="19" x14ac:dyDescent="0.25">
      <c r="A71" s="5" t="s">
        <v>62</v>
      </c>
      <c r="B71" s="1">
        <v>12470000</v>
      </c>
      <c r="C71" s="1">
        <v>33154000</v>
      </c>
      <c r="D71" s="1">
        <v>683966000</v>
      </c>
      <c r="E71" s="1">
        <v>779801000</v>
      </c>
    </row>
    <row r="72" spans="1:5" ht="19" x14ac:dyDescent="0.25">
      <c r="A72" s="6" t="s">
        <v>63</v>
      </c>
      <c r="B72" s="10">
        <v>-83976000</v>
      </c>
      <c r="C72" s="10">
        <v>-80691000</v>
      </c>
      <c r="D72" s="10">
        <v>513056000</v>
      </c>
      <c r="E72" s="10">
        <v>542078000</v>
      </c>
    </row>
    <row r="73" spans="1:5" ht="20" thickBot="1" x14ac:dyDescent="0.3">
      <c r="A73" s="7" t="s">
        <v>64</v>
      </c>
      <c r="B73" s="11">
        <v>95059000</v>
      </c>
      <c r="C73" s="11">
        <v>175739000</v>
      </c>
      <c r="D73" s="11">
        <v>661311000</v>
      </c>
      <c r="E73" s="11">
        <v>747347000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-13554000</v>
      </c>
      <c r="C76" s="1">
        <v>-15776000</v>
      </c>
      <c r="D76" s="1">
        <v>-60135000</v>
      </c>
      <c r="E76" s="1">
        <v>-59574000</v>
      </c>
    </row>
    <row r="77" spans="1:5" ht="19" x14ac:dyDescent="0.25">
      <c r="A77" s="5" t="s">
        <v>13</v>
      </c>
      <c r="B77" s="1">
        <v>1251000</v>
      </c>
      <c r="C77" s="1">
        <v>2256000</v>
      </c>
      <c r="D77" s="1">
        <v>2726000</v>
      </c>
      <c r="E77" s="1">
        <v>4870000</v>
      </c>
    </row>
    <row r="78" spans="1:5" ht="19" x14ac:dyDescent="0.25">
      <c r="A78" s="5" t="s">
        <v>67</v>
      </c>
      <c r="B78" s="1" t="s">
        <v>92</v>
      </c>
      <c r="C78" s="1" t="s">
        <v>92</v>
      </c>
      <c r="D78" s="1" t="s">
        <v>92</v>
      </c>
      <c r="E78" s="1" t="s">
        <v>92</v>
      </c>
    </row>
    <row r="79" spans="1:5" ht="19" x14ac:dyDescent="0.25">
      <c r="A79" s="5" t="s">
        <v>68</v>
      </c>
      <c r="B79" s="1">
        <v>3725000</v>
      </c>
      <c r="C79" s="1">
        <v>17031000</v>
      </c>
      <c r="D79" s="1">
        <v>40804000</v>
      </c>
      <c r="E79" s="1">
        <v>73820000</v>
      </c>
    </row>
    <row r="80" spans="1:5" ht="19" x14ac:dyDescent="0.25">
      <c r="A80" s="14" t="s">
        <v>104</v>
      </c>
      <c r="B80" s="15">
        <f t="shared" ref="B80:E80" si="4">B79/B3</f>
        <v>5.2642736009044656E-2</v>
      </c>
      <c r="C80" s="15">
        <f t="shared" si="4"/>
        <v>0.10532728082327331</v>
      </c>
      <c r="D80" s="15">
        <f t="shared" si="4"/>
        <v>0.16271354058666837</v>
      </c>
      <c r="E80" s="15">
        <f t="shared" si="4"/>
        <v>0.19978619467110514</v>
      </c>
    </row>
    <row r="81" spans="1:13" ht="19" x14ac:dyDescent="0.25">
      <c r="A81" s="5" t="s">
        <v>69</v>
      </c>
      <c r="B81" s="1">
        <v>9502000</v>
      </c>
      <c r="C81" s="1">
        <v>14197000</v>
      </c>
      <c r="D81" s="1">
        <v>25775000</v>
      </c>
      <c r="E81" s="1">
        <v>34540000</v>
      </c>
    </row>
    <row r="82" spans="1:13" ht="19" x14ac:dyDescent="0.25">
      <c r="A82" s="5" t="s">
        <v>70</v>
      </c>
      <c r="B82" s="1">
        <v>-5301000</v>
      </c>
      <c r="C82" s="1">
        <v>-10445000</v>
      </c>
      <c r="D82" s="1">
        <v>-12713000</v>
      </c>
      <c r="E82" s="1">
        <v>-13565000</v>
      </c>
    </row>
    <row r="83" spans="1:13" ht="21" x14ac:dyDescent="0.25">
      <c r="A83" s="5" t="s">
        <v>34</v>
      </c>
      <c r="B83" s="1" t="s">
        <v>92</v>
      </c>
      <c r="C83" s="1" t="s">
        <v>92</v>
      </c>
      <c r="D83" s="1" t="s">
        <v>92</v>
      </c>
      <c r="E83" s="1" t="s">
        <v>92</v>
      </c>
      <c r="L83" s="62" t="s">
        <v>126</v>
      </c>
      <c r="M83" s="63"/>
    </row>
    <row r="84" spans="1:13" ht="19" x14ac:dyDescent="0.25">
      <c r="A84" s="5" t="s">
        <v>47</v>
      </c>
      <c r="B84" s="1">
        <v>2427000</v>
      </c>
      <c r="C84" s="1">
        <v>-1615000</v>
      </c>
      <c r="D84" s="1">
        <v>5622000</v>
      </c>
      <c r="E84" s="1">
        <v>-6655000</v>
      </c>
      <c r="L84" s="64" t="s">
        <v>127</v>
      </c>
      <c r="M84" s="65"/>
    </row>
    <row r="85" spans="1:13" ht="20" x14ac:dyDescent="0.25">
      <c r="A85" s="5" t="s">
        <v>71</v>
      </c>
      <c r="B85" s="1">
        <v>11929000</v>
      </c>
      <c r="C85" s="1">
        <v>21756000</v>
      </c>
      <c r="D85" s="1">
        <v>33206000</v>
      </c>
      <c r="E85" s="1" t="s">
        <v>92</v>
      </c>
      <c r="L85" s="24" t="s">
        <v>128</v>
      </c>
      <c r="M85" s="25">
        <f>E17</f>
        <v>0</v>
      </c>
    </row>
    <row r="86" spans="1:13" ht="20" x14ac:dyDescent="0.25">
      <c r="A86" s="5" t="s">
        <v>72</v>
      </c>
      <c r="B86" s="1">
        <v>1228000</v>
      </c>
      <c r="C86" s="1" t="s">
        <v>92</v>
      </c>
      <c r="D86" s="1" t="s">
        <v>92</v>
      </c>
      <c r="E86" s="1" t="s">
        <v>92</v>
      </c>
      <c r="L86" s="24" t="s">
        <v>129</v>
      </c>
      <c r="M86" s="25">
        <f>E56</f>
        <v>23503000</v>
      </c>
    </row>
    <row r="87" spans="1:13" ht="20" x14ac:dyDescent="0.25">
      <c r="A87" s="6" t="s">
        <v>73</v>
      </c>
      <c r="B87" s="10">
        <v>2152000</v>
      </c>
      <c r="C87" s="10">
        <v>17708000</v>
      </c>
      <c r="D87" s="10">
        <v>9170000</v>
      </c>
      <c r="E87" s="10">
        <v>53656000</v>
      </c>
      <c r="L87" s="24" t="s">
        <v>130</v>
      </c>
      <c r="M87" s="25">
        <f>E61</f>
        <v>23503000</v>
      </c>
    </row>
    <row r="88" spans="1:13" ht="20" x14ac:dyDescent="0.25">
      <c r="A88" s="5" t="s">
        <v>74</v>
      </c>
      <c r="B88" s="1">
        <v>-3770000</v>
      </c>
      <c r="C88" s="1">
        <v>-3376000</v>
      </c>
      <c r="D88" s="1">
        <v>-3586000</v>
      </c>
      <c r="E88" s="1">
        <v>-5562000</v>
      </c>
      <c r="L88" s="34" t="s">
        <v>131</v>
      </c>
      <c r="M88" s="35">
        <f>M85/(M86+M87)</f>
        <v>0</v>
      </c>
    </row>
    <row r="89" spans="1:13" ht="20" customHeight="1" x14ac:dyDescent="0.25">
      <c r="A89" s="14" t="s">
        <v>105</v>
      </c>
      <c r="B89" s="15">
        <f t="shared" ref="B89:E89" si="5">(-1*B88)/B3</f>
        <v>5.3278688524590161E-2</v>
      </c>
      <c r="C89" s="15">
        <f t="shared" si="5"/>
        <v>2.0878685929151E-2</v>
      </c>
      <c r="D89" s="15">
        <f t="shared" si="5"/>
        <v>1.4299842087633389E-2</v>
      </c>
      <c r="E89" s="15">
        <f t="shared" si="5"/>
        <v>1.505297771282426E-2</v>
      </c>
      <c r="L89" s="24" t="s">
        <v>106</v>
      </c>
      <c r="M89" s="25">
        <f>E27</f>
        <v>938000</v>
      </c>
    </row>
    <row r="90" spans="1:13" ht="20" x14ac:dyDescent="0.25">
      <c r="A90" s="5" t="s">
        <v>75</v>
      </c>
      <c r="B90" s="1" t="s">
        <v>92</v>
      </c>
      <c r="C90" s="1" t="s">
        <v>92</v>
      </c>
      <c r="D90" s="1" t="s">
        <v>92</v>
      </c>
      <c r="E90" s="1">
        <v>-4050000</v>
      </c>
      <c r="L90" s="24" t="s">
        <v>19</v>
      </c>
      <c r="M90" s="25">
        <f>E25</f>
        <v>-65871000</v>
      </c>
    </row>
    <row r="91" spans="1:13" ht="20" x14ac:dyDescent="0.25">
      <c r="A91" s="5" t="s">
        <v>76</v>
      </c>
      <c r="B91" s="1" t="s">
        <v>92</v>
      </c>
      <c r="C91" s="1" t="s">
        <v>92</v>
      </c>
      <c r="D91" s="1" t="s">
        <v>92</v>
      </c>
      <c r="E91" s="1" t="s">
        <v>92</v>
      </c>
      <c r="L91" s="34" t="s">
        <v>132</v>
      </c>
      <c r="M91" s="35">
        <f>M89/M90</f>
        <v>-1.4239953849190084E-2</v>
      </c>
    </row>
    <row r="92" spans="1:13" ht="20" x14ac:dyDescent="0.25">
      <c r="A92" s="5" t="s">
        <v>77</v>
      </c>
      <c r="B92" s="1">
        <v>7677000</v>
      </c>
      <c r="C92" s="1" t="s">
        <v>92</v>
      </c>
      <c r="D92" s="1" t="s">
        <v>92</v>
      </c>
      <c r="E92" s="1" t="s">
        <v>92</v>
      </c>
      <c r="L92" s="36" t="s">
        <v>133</v>
      </c>
      <c r="M92" s="37">
        <f>M88*(1-M91)</f>
        <v>0</v>
      </c>
    </row>
    <row r="93" spans="1:13" ht="19" x14ac:dyDescent="0.25">
      <c r="A93" s="5" t="s">
        <v>78</v>
      </c>
      <c r="B93" s="1">
        <v>-1476000</v>
      </c>
      <c r="C93" s="1">
        <v>-638000</v>
      </c>
      <c r="D93" s="1">
        <v>-2620000</v>
      </c>
      <c r="E93" s="1">
        <v>-4562000</v>
      </c>
      <c r="L93" s="64" t="s">
        <v>134</v>
      </c>
      <c r="M93" s="65"/>
    </row>
    <row r="94" spans="1:13" ht="20" x14ac:dyDescent="0.25">
      <c r="A94" s="6" t="s">
        <v>79</v>
      </c>
      <c r="B94" s="10">
        <v>2431000</v>
      </c>
      <c r="C94" s="10">
        <v>-4014000</v>
      </c>
      <c r="D94" s="10">
        <v>-6206000</v>
      </c>
      <c r="E94" s="10">
        <v>-14174000</v>
      </c>
      <c r="L94" s="24" t="s">
        <v>135</v>
      </c>
      <c r="M94" s="38">
        <v>4.095E-2</v>
      </c>
    </row>
    <row r="95" spans="1:13" ht="20" x14ac:dyDescent="0.25">
      <c r="A95" s="5" t="s">
        <v>80</v>
      </c>
      <c r="B95" s="1" t="s">
        <v>92</v>
      </c>
      <c r="C95" s="1" t="s">
        <v>92</v>
      </c>
      <c r="D95" s="1" t="s">
        <v>92</v>
      </c>
      <c r="E95" s="1" t="s">
        <v>92</v>
      </c>
      <c r="L95" s="24" t="s">
        <v>136</v>
      </c>
      <c r="M95" s="39" cm="1">
        <f t="array" ref="M95">_FV(A1,"Beta")</f>
        <v>1.0349999999999999</v>
      </c>
    </row>
    <row r="96" spans="1:13" ht="20" x14ac:dyDescent="0.25">
      <c r="A96" s="5" t="s">
        <v>81</v>
      </c>
      <c r="B96" s="1" t="s">
        <v>92</v>
      </c>
      <c r="C96" s="1" t="s">
        <v>92</v>
      </c>
      <c r="D96" s="1">
        <v>426191000</v>
      </c>
      <c r="E96" s="1" t="s">
        <v>92</v>
      </c>
      <c r="L96" s="24" t="s">
        <v>137</v>
      </c>
      <c r="M96" s="38">
        <v>8.4000000000000005E-2</v>
      </c>
    </row>
    <row r="97" spans="1:13" ht="20" x14ac:dyDescent="0.25">
      <c r="A97" s="5" t="s">
        <v>82</v>
      </c>
      <c r="B97" s="1">
        <v>-168000</v>
      </c>
      <c r="C97" s="1" t="s">
        <v>92</v>
      </c>
      <c r="D97" s="1">
        <v>-868000</v>
      </c>
      <c r="E97" s="1" t="s">
        <v>92</v>
      </c>
      <c r="L97" s="36" t="s">
        <v>138</v>
      </c>
      <c r="M97" s="37">
        <f>(M94)+((M95)*(M96-M94))</f>
        <v>8.5506749999999992E-2</v>
      </c>
    </row>
    <row r="98" spans="1:13" ht="19" x14ac:dyDescent="0.25">
      <c r="A98" s="5" t="s">
        <v>83</v>
      </c>
      <c r="B98" s="1" t="s">
        <v>92</v>
      </c>
      <c r="C98" s="1" t="s">
        <v>92</v>
      </c>
      <c r="D98" s="1" t="s">
        <v>92</v>
      </c>
      <c r="E98" s="1" t="s">
        <v>92</v>
      </c>
      <c r="L98" s="64" t="s">
        <v>139</v>
      </c>
      <c r="M98" s="65"/>
    </row>
    <row r="99" spans="1:13" ht="20" x14ac:dyDescent="0.25">
      <c r="A99" s="5" t="s">
        <v>84</v>
      </c>
      <c r="B99" s="1">
        <v>31138000</v>
      </c>
      <c r="C99" s="1">
        <v>46953000</v>
      </c>
      <c r="D99" s="1">
        <v>5145000</v>
      </c>
      <c r="E99" s="1">
        <v>14776000</v>
      </c>
      <c r="L99" s="24" t="s">
        <v>140</v>
      </c>
      <c r="M99" s="25">
        <f>M86+M87</f>
        <v>47006000</v>
      </c>
    </row>
    <row r="100" spans="1:13" ht="20" x14ac:dyDescent="0.25">
      <c r="A100" s="6" t="s">
        <v>85</v>
      </c>
      <c r="B100" s="10">
        <v>30970000</v>
      </c>
      <c r="C100" s="10">
        <v>46953000</v>
      </c>
      <c r="D100" s="10">
        <v>430468000</v>
      </c>
      <c r="E100" s="10">
        <v>14776000</v>
      </c>
      <c r="L100" s="34" t="s">
        <v>141</v>
      </c>
      <c r="M100" s="35">
        <f>M99/M103</f>
        <v>7.6189654960026609E-3</v>
      </c>
    </row>
    <row r="101" spans="1:13" ht="20" x14ac:dyDescent="0.25">
      <c r="A101" s="5" t="s">
        <v>86</v>
      </c>
      <c r="B101" s="1" t="s">
        <v>92</v>
      </c>
      <c r="C101" s="1" t="s">
        <v>92</v>
      </c>
      <c r="D101" s="1" t="s">
        <v>92</v>
      </c>
      <c r="E101" s="1" t="s">
        <v>92</v>
      </c>
      <c r="L101" s="24" t="s">
        <v>142</v>
      </c>
      <c r="M101" s="40" cm="1">
        <f t="array" ref="M101">_FV(A1,"Market cap",TRUE)</f>
        <v>6122598000</v>
      </c>
    </row>
    <row r="102" spans="1:13" ht="20" x14ac:dyDescent="0.25">
      <c r="A102" s="6" t="s">
        <v>87</v>
      </c>
      <c r="B102" s="10">
        <v>35553000</v>
      </c>
      <c r="C102" s="10">
        <v>60647000</v>
      </c>
      <c r="D102" s="10">
        <v>433432000</v>
      </c>
      <c r="E102" s="10">
        <v>54258000</v>
      </c>
      <c r="L102" s="34" t="s">
        <v>143</v>
      </c>
      <c r="M102" s="35">
        <f>M101/M103</f>
        <v>0.99238103450399739</v>
      </c>
    </row>
    <row r="103" spans="1:13" ht="20" x14ac:dyDescent="0.25">
      <c r="A103" s="5" t="s">
        <v>88</v>
      </c>
      <c r="B103" s="1">
        <v>24290000</v>
      </c>
      <c r="C103" s="1">
        <v>59843000</v>
      </c>
      <c r="D103" s="1">
        <v>120490000</v>
      </c>
      <c r="E103" s="1">
        <v>553922000</v>
      </c>
      <c r="L103" s="36" t="s">
        <v>144</v>
      </c>
      <c r="M103" s="41">
        <f>M99+M101</f>
        <v>6169604000</v>
      </c>
    </row>
    <row r="104" spans="1:13" ht="20" thickBot="1" x14ac:dyDescent="0.3">
      <c r="A104" s="7" t="s">
        <v>89</v>
      </c>
      <c r="B104" s="11">
        <v>59843000</v>
      </c>
      <c r="C104" s="11">
        <v>120490000</v>
      </c>
      <c r="D104" s="11">
        <v>553922000</v>
      </c>
      <c r="E104" s="11">
        <v>608180000</v>
      </c>
      <c r="L104" s="64" t="s">
        <v>145</v>
      </c>
      <c r="M104" s="65"/>
    </row>
    <row r="105" spans="1:13" ht="21" thickTop="1" x14ac:dyDescent="0.25">
      <c r="A105" s="14" t="s">
        <v>107</v>
      </c>
      <c r="B105" s="1"/>
      <c r="C105" s="15">
        <f>(C106/B106)-1</f>
        <v>-5.4259857789269557</v>
      </c>
      <c r="D105" s="15">
        <f>(D106/C106)-1</f>
        <v>-0.78355484153643928</v>
      </c>
      <c r="E105" s="15">
        <f>(E106/D106)-1</f>
        <v>13.686909581646423</v>
      </c>
      <c r="F105" s="66">
        <v>88341000</v>
      </c>
      <c r="G105" s="66">
        <v>123600000</v>
      </c>
      <c r="H105" s="66">
        <v>202700000</v>
      </c>
      <c r="I105" s="66">
        <v>250000000</v>
      </c>
      <c r="J105" s="66">
        <v>300000000</v>
      </c>
      <c r="K105" s="15"/>
      <c r="L105" s="26" t="s">
        <v>108</v>
      </c>
      <c r="M105" s="27">
        <f>(M100*M92)+(M102*M97)</f>
        <v>8.4855277022074668E-2</v>
      </c>
    </row>
    <row r="106" spans="1:13" ht="19" x14ac:dyDescent="0.25">
      <c r="A106" s="5" t="s">
        <v>90</v>
      </c>
      <c r="B106" s="1">
        <v>-3094000</v>
      </c>
      <c r="C106" s="1">
        <v>13694000</v>
      </c>
      <c r="D106" s="1">
        <v>2964000</v>
      </c>
      <c r="E106" s="1">
        <v>43532000</v>
      </c>
      <c r="F106" s="42">
        <f>E106*(1+$M$106)</f>
        <v>54230190.73262462</v>
      </c>
      <c r="G106" s="42">
        <f t="shared" ref="G106:J106" si="6">F106*(1+$M$106)</f>
        <v>67557511.414519086</v>
      </c>
      <c r="H106" s="42">
        <f t="shared" si="6"/>
        <v>84160082.914426968</v>
      </c>
      <c r="I106" s="42">
        <f t="shared" si="6"/>
        <v>104842813.29878886</v>
      </c>
      <c r="J106" s="42">
        <f t="shared" si="6"/>
        <v>130608420.5214158</v>
      </c>
      <c r="K106" s="43" t="s">
        <v>146</v>
      </c>
      <c r="L106" s="44" t="s">
        <v>147</v>
      </c>
      <c r="M106" s="45">
        <f>(SUM(F4:J4)/5)</f>
        <v>0.24575463412259063</v>
      </c>
    </row>
    <row r="107" spans="1:13" ht="19" x14ac:dyDescent="0.25">
      <c r="A107" s="5"/>
      <c r="B107" s="13"/>
      <c r="C107" s="13"/>
      <c r="D107" s="13"/>
      <c r="E107" s="13"/>
      <c r="F107" s="43"/>
      <c r="G107" s="43"/>
      <c r="H107" s="43"/>
      <c r="I107" s="43"/>
      <c r="J107" s="67">
        <f>J105*(1+M107)/(M108-M107)</f>
        <v>5137391643.6238995</v>
      </c>
      <c r="K107" s="47" t="s">
        <v>148</v>
      </c>
      <c r="L107" s="48" t="s">
        <v>149</v>
      </c>
      <c r="M107" s="49">
        <v>2.5000000000000001E-2</v>
      </c>
    </row>
    <row r="108" spans="1:13" ht="19" x14ac:dyDescent="0.25">
      <c r="F108" s="46">
        <f t="shared" ref="F108:H108" si="7">F107+F106</f>
        <v>54230190.73262462</v>
      </c>
      <c r="G108" s="46">
        <f t="shared" si="7"/>
        <v>67557511.414519086</v>
      </c>
      <c r="H108" s="46">
        <f t="shared" si="7"/>
        <v>84160082.914426968</v>
      </c>
      <c r="I108" s="46">
        <f>I107+I106</f>
        <v>104842813.29878886</v>
      </c>
      <c r="J108" s="67">
        <f>J107+J105</f>
        <v>5437391643.6238995</v>
      </c>
      <c r="K108" s="47" t="s">
        <v>144</v>
      </c>
      <c r="L108" s="50" t="s">
        <v>150</v>
      </c>
      <c r="M108" s="51">
        <f>M105</f>
        <v>8.4855277022074668E-2</v>
      </c>
    </row>
    <row r="109" spans="1:13" ht="19" x14ac:dyDescent="0.25">
      <c r="F109" s="60" t="s">
        <v>151</v>
      </c>
      <c r="G109" s="61"/>
    </row>
    <row r="110" spans="1:13" ht="20" x14ac:dyDescent="0.25">
      <c r="F110" s="52" t="s">
        <v>152</v>
      </c>
      <c r="G110" s="40">
        <f>NPV(M108,F108,G108,H108,I108,J108)</f>
        <v>3867524118.7857952</v>
      </c>
    </row>
    <row r="111" spans="1:13" ht="20" x14ac:dyDescent="0.25">
      <c r="F111" s="52" t="s">
        <v>153</v>
      </c>
      <c r="G111" s="40">
        <f>E40</f>
        <v>608180000</v>
      </c>
    </row>
    <row r="112" spans="1:13" ht="20" x14ac:dyDescent="0.25">
      <c r="F112" s="52" t="s">
        <v>140</v>
      </c>
      <c r="G112" s="40">
        <f>M99</f>
        <v>47006000</v>
      </c>
    </row>
    <row r="113" spans="6:7" ht="20" x14ac:dyDescent="0.25">
      <c r="F113" s="52" t="s">
        <v>154</v>
      </c>
      <c r="G113" s="40">
        <f>G110+G111-G112</f>
        <v>4428698118.7857952</v>
      </c>
    </row>
    <row r="114" spans="6:7" ht="20" x14ac:dyDescent="0.25">
      <c r="F114" s="52" t="s">
        <v>159</v>
      </c>
      <c r="G114" s="53" cm="1">
        <f t="array" ref="G114">_FV(A1,"Shares outstanding",TRUE)</f>
        <v>41052690</v>
      </c>
    </row>
    <row r="115" spans="6:7" ht="20" x14ac:dyDescent="0.25">
      <c r="F115" s="54" t="s">
        <v>155</v>
      </c>
      <c r="G115" s="55">
        <f>G113/G114</f>
        <v>107.87839039989329</v>
      </c>
    </row>
    <row r="116" spans="6:7" ht="20" x14ac:dyDescent="0.25">
      <c r="F116" s="52" t="s">
        <v>156</v>
      </c>
      <c r="G116" s="56" cm="1">
        <f t="array" ref="G116">_FV(A1,"Price")</f>
        <v>149.13999999999999</v>
      </c>
    </row>
    <row r="117" spans="6:7" ht="20" x14ac:dyDescent="0.25">
      <c r="F117" s="57" t="s">
        <v>157</v>
      </c>
      <c r="G117" s="58">
        <f>G115/G116-1</f>
        <v>-0.27666360198542783</v>
      </c>
    </row>
    <row r="118" spans="6:7" ht="20" x14ac:dyDescent="0.25">
      <c r="F118" s="57" t="s">
        <v>158</v>
      </c>
      <c r="G118" s="59" t="str">
        <f>IF(G115&gt;G116,"BUY","SELL")</f>
        <v>SELL</v>
      </c>
    </row>
  </sheetData>
  <mergeCells count="6">
    <mergeCell ref="F109:G109"/>
    <mergeCell ref="L83:M83"/>
    <mergeCell ref="L84:M84"/>
    <mergeCell ref="L93:M93"/>
    <mergeCell ref="L98:M98"/>
    <mergeCell ref="L104:M104"/>
  </mergeCells>
  <hyperlinks>
    <hyperlink ref="A1" r:id="rId1" tooltip="https://roic.ai/company/DUOL" display="ROIC.AI | DUO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2088/000156208822000039/0001562088-22-000039-index.htm" xr:uid="{00000000-0004-0000-0000-000007000000}"/>
    <hyperlink ref="D74" r:id="rId7" tooltip="https://www.sec.gov/Archives/edgar/data/1562088/000156208822000039/0001562088-22-000039-index.htm" xr:uid="{00000000-0004-0000-0000-000008000000}"/>
    <hyperlink ref="E36" r:id="rId8" tooltip="https://www.sec.gov/Archives/edgar/data/1562088/000156208823000052/0001562088-23-000052-index.htm" xr:uid="{00000000-0004-0000-0000-00000A000000}"/>
    <hyperlink ref="E74" r:id="rId9" tooltip="https://www.sec.gov/Archives/edgar/data/1562088/000156208823000052/0001562088-23-000052-index.htm" xr:uid="{00000000-0004-0000-0000-00000B000000}"/>
    <hyperlink ref="F1" r:id="rId10" display="https://finbox.com/NASDAQGS:DUOL/explorer/revenue_proj" xr:uid="{3D929342-21D7-8547-B9EB-2B0B36B7C0D2}"/>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2023-03-13T16:59:55Z</dcterms:created>
  <dcterms:modified xsi:type="dcterms:W3CDTF">2023-05-28T07:42:19Z</dcterms:modified>
</cp:coreProperties>
</file>