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Industrials/"/>
    </mc:Choice>
  </mc:AlternateContent>
  <xr:revisionPtr revIDLastSave="0" documentId="13_ncr:1_{31BDFFB0-A939-D84F-848A-FBB485CD7F2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definedNames>
    <definedName name="_xlchart.v1.0" hidden="1">'Sheet 1'!$A$106:$B$106</definedName>
    <definedName name="_xlchart.v1.1" hidden="1">'Sheet 1'!$A$19:$B$19</definedName>
    <definedName name="_xlchart.v1.10" hidden="1">'Sheet 1'!$C$3:$Y$3</definedName>
    <definedName name="_xlchart.v1.2" hidden="1">'Sheet 1'!$A$3:$B$3</definedName>
    <definedName name="_xlchart.v1.3" hidden="1">'Sheet 1'!$C$106:$Y$106</definedName>
    <definedName name="_xlchart.v1.4" hidden="1">'Sheet 1'!$C$19:$Y$19</definedName>
    <definedName name="_xlchart.v1.5" hidden="1">'Sheet 1'!$C$3:$Y$3</definedName>
    <definedName name="_xlchart.v1.6" hidden="1">'Sheet 1'!$A$106:$B$106</definedName>
    <definedName name="_xlchart.v1.7" hidden="1">'Sheet 1'!$A$19:$B$19</definedName>
    <definedName name="_xlchart.v1.8" hidden="1">'Sheet 1'!$C$106:$Y$106</definedName>
    <definedName name="_xlchart.v1.9" hidden="1">'Sheet 1'!$C$19:$Y$19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06" i="1" l="1"/>
  <c r="AB106" i="1" s="1"/>
  <c r="AC106" i="1" s="1"/>
  <c r="AD106" i="1" s="1"/>
  <c r="Z106" i="1"/>
  <c r="AG101" i="1"/>
  <c r="AA111" i="1"/>
  <c r="Z108" i="1"/>
  <c r="AG97" i="1"/>
  <c r="AG90" i="1"/>
  <c r="AG89" i="1"/>
  <c r="AG91" i="1" s="1"/>
  <c r="AG88" i="1"/>
  <c r="AG92" i="1" s="1"/>
  <c r="AG87" i="1"/>
  <c r="AG86" i="1"/>
  <c r="AG99" i="1" s="1"/>
  <c r="AG85" i="1"/>
  <c r="AE19" i="1"/>
  <c r="AH16" i="1"/>
  <c r="AG16" i="1"/>
  <c r="AF16" i="1"/>
  <c r="AE16" i="1"/>
  <c r="AA114" i="1" s="1"/>
  <c r="AH13" i="1"/>
  <c r="AG13" i="1"/>
  <c r="AF13" i="1"/>
  <c r="AE13" i="1"/>
  <c r="AH10" i="1"/>
  <c r="AG10" i="1"/>
  <c r="AF10" i="1"/>
  <c r="AE10" i="1"/>
  <c r="AH7" i="1"/>
  <c r="AG7" i="1"/>
  <c r="AF7" i="1"/>
  <c r="AE7" i="1"/>
  <c r="AH4" i="1"/>
  <c r="AG4" i="1"/>
  <c r="AF4" i="1"/>
  <c r="AE4" i="1"/>
  <c r="AD4" i="1"/>
  <c r="AC4" i="1"/>
  <c r="AB4" i="1"/>
  <c r="AA4" i="1"/>
  <c r="Z4" i="1"/>
  <c r="X13" i="1"/>
  <c r="Y13" i="1"/>
  <c r="X9" i="1"/>
  <c r="Y9" i="1"/>
  <c r="X20" i="1"/>
  <c r="Y20" i="1"/>
  <c r="X29" i="1"/>
  <c r="Y29" i="1"/>
  <c r="X35" i="1"/>
  <c r="Y35" i="1"/>
  <c r="X80" i="1"/>
  <c r="Y80" i="1"/>
  <c r="X89" i="1"/>
  <c r="Y89" i="1"/>
  <c r="X105" i="1"/>
  <c r="Y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AG106" i="1" l="1"/>
  <c r="AA108" i="1"/>
  <c r="AG103" i="1"/>
  <c r="AG102" i="1" s="1"/>
  <c r="AA112" i="1"/>
  <c r="AG100" i="1" l="1"/>
  <c r="AG105" i="1" s="1"/>
  <c r="AG108" i="1" s="1"/>
  <c r="AB108" i="1"/>
  <c r="AD107" i="1" l="1"/>
  <c r="AD108" i="1" s="1"/>
  <c r="AA110" i="1" s="1"/>
  <c r="AA113" i="1" s="1"/>
  <c r="AA115" i="1" s="1"/>
  <c r="AA118" i="1" s="1"/>
  <c r="AC108" i="1"/>
  <c r="AA117" i="1" l="1"/>
</calcChain>
</file>

<file path=xl/sharedStrings.xml><?xml version="1.0" encoding="utf-8"?>
<sst xmlns="http://schemas.openxmlformats.org/spreadsheetml/2006/main" count="733" uniqueCount="161">
  <si>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</si>
  <si>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</si>
  <si>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</si>
  <si>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</si>
  <si>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</si>
  <si>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</si>
  <si>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</si>
  <si>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</si>
  <si>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</si>
  <si>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</si>
  <si>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</si>
  <si>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</si>
  <si>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</si>
  <si>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</si>
  <si>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</si>
  <si>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</si>
  <si>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</si>
  <si>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</si>
  <si>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</si>
  <si>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</si>
  <si>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</si>
  <si>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</si>
  <si>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</si>
  <si>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</si>
  <si>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</si>
  <si>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</si>
  <si>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</si>
  <si>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</si>
  <si>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</si>
  <si>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</si>
  <si>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</si>
  <si>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</si>
  <si>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</si>
  <si>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</si>
  <si>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</si>
  <si>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</si>
  <si>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</si>
  <si>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</si>
  <si>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</si>
  <si>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</si>
  <si>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</si>
  <si>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</si>
  <si>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</si>
  <si>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</si>
  <si>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</si>
  <si>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</si>
  <si>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</si>
  <si>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</si>
  <si>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</si>
  <si>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</si>
  <si>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</si>
  <si>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</si>
  <si>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</si>
  <si>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</si>
  <si>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</si>
  <si>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</si>
  <si>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</si>
  <si>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</si>
  <si>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</si>
  <si>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</si>
  <si>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</si>
  <si>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</si>
  <si>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</si>
  <si>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</si>
  <si>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</si>
  <si>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</si>
  <si>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</si>
  <si>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</si>
  <si>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</si>
  <si>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</si>
  <si>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</si>
  <si>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</si>
  <si>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</si>
  <si>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</si>
  <si>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</si>
  <si>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</si>
  <si>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</si>
  <si>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</si>
  <si>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</si>
  <si>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</si>
  <si>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</si>
  <si>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</si>
  <si>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</si>
  <si>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</si>
  <si>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</si>
  <si>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</si>
  <si>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</si>
  <si>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</si>
  <si>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</si>
  <si>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</si>
  <si>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</si>
  <si>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</si>
  <si>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</si>
  <si>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</si>
  <si>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</si>
  <si>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</si>
  <si>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</si>
  <si>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</si>
  <si>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</si>
  <si>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</si>
  <si>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</si>
  <si>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</si>
  <si>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Net Income Growth YoY</t>
  </si>
  <si>
    <t>Share Dilution YoY</t>
  </si>
  <si>
    <t>SBC as % of Revenue</t>
  </si>
  <si>
    <t>CAPEX as % of Revenue</t>
  </si>
  <si>
    <t>Income Tax Expense</t>
  </si>
  <si>
    <t>FCF Growth YoY</t>
  </si>
  <si>
    <t>WACC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</si>
  <si>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</si>
  <si>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</si>
  <si>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</si>
  <si>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</si>
  <si>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</si>
  <si>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</si>
  <si>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</si>
  <si>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</si>
  <si>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</si>
  <si>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</si>
  <si>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</si>
  <si>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</si>
  <si>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</si>
  <si>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P/S</t>
  </si>
  <si>
    <t>P/E</t>
  </si>
  <si>
    <t>P/FCF</t>
  </si>
  <si>
    <t>Net Cash</t>
  </si>
  <si>
    <t>Weighted Average Cost of Capital</t>
  </si>
  <si>
    <t>Cost of Debt Calculation</t>
  </si>
  <si>
    <t>Interest Expense</t>
  </si>
  <si>
    <t>Short Term Debt</t>
  </si>
  <si>
    <t>Long Term Debt</t>
  </si>
  <si>
    <t>Cost of Debt</t>
  </si>
  <si>
    <t>Effective Tax Rate</t>
  </si>
  <si>
    <t>Cost of Debt*(1-t)</t>
  </si>
  <si>
    <t>Cost of Equity Calculation</t>
  </si>
  <si>
    <t>Risk Free Rate</t>
  </si>
  <si>
    <t>Beta</t>
  </si>
  <si>
    <t>Market Return</t>
  </si>
  <si>
    <t>Cost of Equity</t>
  </si>
  <si>
    <t>Weight of Debt + Equity Calculation</t>
  </si>
  <si>
    <t>Total Debt</t>
  </si>
  <si>
    <t>Weight of Debt</t>
  </si>
  <si>
    <t>Market Cap</t>
  </si>
  <si>
    <t>Weight of Equity</t>
  </si>
  <si>
    <t>Total</t>
  </si>
  <si>
    <t>WACC Calculation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</si>
  <si>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</si>
  <si>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</si>
  <si>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</si>
  <si>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</si>
  <si>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</si>
  <si>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</si>
  <si>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</si>
  <si>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</si>
  <si>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</si>
  <si>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</si>
  <si>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</si>
  <si>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</si>
  <si>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</si>
  <si>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</si>
  <si>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Axon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</si>
</sst>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B4C6E7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7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5" xfId="0" applyNumberFormat="1" applyFont="1" applyBorder="1" applyAlignment="1">
      <alignment horizontal="center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9" fontId="11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10" fontId="1" fillId="0" borderId="0" xfId="0" applyNumberFormat="1" applyFont="1"/>
    <xf numFmtId="0" fontId="11" fillId="4" borderId="9" xfId="0" applyFont="1" applyFill="1" applyBorder="1" applyAlignment="1">
      <alignment horizontal="left" vertical="center" wrapText="1"/>
    </xf>
    <xf numFmtId="164" fontId="11" fillId="4" borderId="10" xfId="0" applyNumberFormat="1" applyFont="1" applyFill="1" applyBorder="1"/>
    <xf numFmtId="0" fontId="12" fillId="5" borderId="11" xfId="0" applyFont="1" applyFill="1" applyBorder="1" applyAlignment="1">
      <alignment horizontal="left" vertical="center" wrapText="1"/>
    </xf>
    <xf numFmtId="10" fontId="12" fillId="5" borderId="8" xfId="0" applyNumberFormat="1" applyFont="1" applyFill="1" applyBorder="1"/>
    <xf numFmtId="0" fontId="13" fillId="0" borderId="4" xfId="0" applyFont="1" applyBorder="1"/>
    <xf numFmtId="164" fontId="10" fillId="0" borderId="0" xfId="0" applyNumberFormat="1" applyFont="1"/>
    <xf numFmtId="9" fontId="11" fillId="0" borderId="11" xfId="0" applyNumberFormat="1" applyFont="1" applyBorder="1" applyAlignment="1">
      <alignment horizontal="center"/>
    </xf>
    <xf numFmtId="2" fontId="11" fillId="0" borderId="11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4" fillId="5" borderId="12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2" fillId="6" borderId="12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left" vertical="center" wrapText="1"/>
    </xf>
    <xf numFmtId="10" fontId="12" fillId="4" borderId="10" xfId="0" applyNumberFormat="1" applyFont="1" applyFill="1" applyBorder="1"/>
    <xf numFmtId="0" fontId="12" fillId="4" borderId="11" xfId="0" applyFont="1" applyFill="1" applyBorder="1" applyAlignment="1">
      <alignment horizontal="left" vertical="center" wrapText="1"/>
    </xf>
    <xf numFmtId="10" fontId="12" fillId="4" borderId="8" xfId="0" applyNumberFormat="1" applyFont="1" applyFill="1" applyBorder="1"/>
    <xf numFmtId="10" fontId="11" fillId="4" borderId="10" xfId="0" applyNumberFormat="1" applyFont="1" applyFill="1" applyBorder="1"/>
    <xf numFmtId="0" fontId="11" fillId="7" borderId="9" xfId="0" applyFont="1" applyFill="1" applyBorder="1" applyAlignment="1">
      <alignment horizontal="left" vertical="center" wrapText="1"/>
    </xf>
    <xf numFmtId="39" fontId="11" fillId="7" borderId="10" xfId="0" applyNumberFormat="1" applyFont="1" applyFill="1" applyBorder="1"/>
    <xf numFmtId="164" fontId="12" fillId="4" borderId="8" xfId="0" applyNumberFormat="1" applyFont="1" applyFill="1" applyBorder="1"/>
    <xf numFmtId="164" fontId="10" fillId="7" borderId="0" xfId="0" applyNumberFormat="1" applyFont="1" applyFill="1"/>
    <xf numFmtId="0" fontId="0" fillId="4" borderId="0" xfId="0" applyFill="1"/>
    <xf numFmtId="9" fontId="16" fillId="4" borderId="9" xfId="0" applyNumberFormat="1" applyFont="1" applyFill="1" applyBorder="1" applyAlignment="1">
      <alignment wrapText="1"/>
    </xf>
    <xf numFmtId="10" fontId="1" fillId="4" borderId="10" xfId="0" applyNumberFormat="1" applyFont="1" applyFill="1" applyBorder="1" applyAlignment="1">
      <alignment horizontal="right" vertical="center"/>
    </xf>
    <xf numFmtId="164" fontId="1" fillId="4" borderId="0" xfId="0" applyNumberFormat="1" applyFont="1" applyFill="1"/>
    <xf numFmtId="0" fontId="0" fillId="4" borderId="0" xfId="0" applyFill="1" applyAlignment="1">
      <alignment horizontal="left"/>
    </xf>
    <xf numFmtId="0" fontId="16" fillId="7" borderId="9" xfId="0" applyFont="1" applyFill="1" applyBorder="1" applyAlignment="1">
      <alignment wrapText="1"/>
    </xf>
    <xf numFmtId="10" fontId="1" fillId="7" borderId="10" xfId="0" applyNumberFormat="1" applyFont="1" applyFill="1" applyBorder="1" applyAlignment="1">
      <alignment horizontal="right" vertical="center"/>
    </xf>
    <xf numFmtId="0" fontId="16" fillId="4" borderId="11" xfId="0" applyFont="1" applyFill="1" applyBorder="1"/>
    <xf numFmtId="10" fontId="1" fillId="4" borderId="8" xfId="0" applyNumberFormat="1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wrapText="1"/>
    </xf>
    <xf numFmtId="164" fontId="1" fillId="4" borderId="10" xfId="0" applyNumberFormat="1" applyFont="1" applyFill="1" applyBorder="1"/>
    <xf numFmtId="164" fontId="1" fillId="4" borderId="10" xfId="0" applyNumberFormat="1" applyFont="1" applyFill="1" applyBorder="1" applyAlignment="1">
      <alignment wrapText="1"/>
    </xf>
    <xf numFmtId="164" fontId="1" fillId="5" borderId="9" xfId="0" applyNumberFormat="1" applyFont="1" applyFill="1" applyBorder="1" applyAlignment="1">
      <alignment wrapText="1"/>
    </xf>
    <xf numFmtId="167" fontId="12" fillId="5" borderId="10" xfId="0" applyNumberFormat="1" applyFont="1" applyFill="1" applyBorder="1"/>
    <xf numFmtId="164" fontId="1" fillId="7" borderId="9" xfId="0" applyNumberFormat="1" applyFont="1" applyFill="1" applyBorder="1" applyAlignment="1">
      <alignment wrapText="1"/>
    </xf>
    <xf numFmtId="167" fontId="1" fillId="7" borderId="10" xfId="0" applyNumberFormat="1" applyFont="1" applyFill="1" applyBorder="1"/>
    <xf numFmtId="164" fontId="1" fillId="5" borderId="11" xfId="0" applyNumberFormat="1" applyFont="1" applyFill="1" applyBorder="1" applyAlignment="1">
      <alignment wrapText="1"/>
    </xf>
    <xf numFmtId="9" fontId="12" fillId="5" borderId="8" xfId="1" applyFont="1" applyFill="1" applyBorder="1"/>
    <xf numFmtId="0" fontId="12" fillId="5" borderId="8" xfId="0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AXON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353719008264458E-2"/>
          <c:y val="0.13324373854612095"/>
          <c:w val="0.840885950413223"/>
          <c:h val="0.754672605447837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1'!$A$3:$B$3</c:f>
              <c:strCache>
                <c:ptCount val="2"/>
                <c:pt idx="0">
                  <c:v>Revenue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1'!$C$3:$Y$3</c:f>
              <c:numCache>
                <c:formatCode>#,###,,;\(#,###,,\);\ \-\ \-</c:formatCode>
                <c:ptCount val="23"/>
                <c:pt idx="0">
                  <c:v>3412620</c:v>
                </c:pt>
                <c:pt idx="1">
                  <c:v>6853272</c:v>
                </c:pt>
                <c:pt idx="2">
                  <c:v>9842777</c:v>
                </c:pt>
                <c:pt idx="3">
                  <c:v>24455506</c:v>
                </c:pt>
                <c:pt idx="4">
                  <c:v>67639879</c:v>
                </c:pt>
                <c:pt idx="5">
                  <c:v>47694181</c:v>
                </c:pt>
                <c:pt idx="6">
                  <c:v>67717851</c:v>
                </c:pt>
                <c:pt idx="7">
                  <c:v>100727191</c:v>
                </c:pt>
                <c:pt idx="8">
                  <c:v>92845490</c:v>
                </c:pt>
                <c:pt idx="9">
                  <c:v>104251560</c:v>
                </c:pt>
                <c:pt idx="10">
                  <c:v>86930019</c:v>
                </c:pt>
                <c:pt idx="11">
                  <c:v>90027906</c:v>
                </c:pt>
                <c:pt idx="12">
                  <c:v>114752748</c:v>
                </c:pt>
                <c:pt idx="13">
                  <c:v>137831000</c:v>
                </c:pt>
                <c:pt idx="14">
                  <c:v>164525000</c:v>
                </c:pt>
                <c:pt idx="15">
                  <c:v>197892000</c:v>
                </c:pt>
                <c:pt idx="16">
                  <c:v>268245000</c:v>
                </c:pt>
                <c:pt idx="17">
                  <c:v>343798000</c:v>
                </c:pt>
                <c:pt idx="18">
                  <c:v>420068000</c:v>
                </c:pt>
                <c:pt idx="19">
                  <c:v>530860000</c:v>
                </c:pt>
                <c:pt idx="20">
                  <c:v>681003000</c:v>
                </c:pt>
                <c:pt idx="21">
                  <c:v>863381000</c:v>
                </c:pt>
                <c:pt idx="22">
                  <c:v>1189935000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E-DD45-891A-B34A4FD6282F}"/>
            </c:ext>
          </c:extLst>
        </c:ser>
        <c:ser>
          <c:idx val="1"/>
          <c:order val="1"/>
          <c:tx>
            <c:strRef>
              <c:f>'Sheet 1'!$A$19:$B$19</c:f>
              <c:strCache>
                <c:ptCount val="2"/>
                <c:pt idx="0">
                  <c:v>EBITDA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1'!$C$19:$Y$19</c:f>
              <c:numCache>
                <c:formatCode>#,###,,;\(#,###,,\);\ \-\ \-</c:formatCode>
                <c:ptCount val="23"/>
                <c:pt idx="0">
                  <c:v>77918</c:v>
                </c:pt>
                <c:pt idx="1">
                  <c:v>1063300</c:v>
                </c:pt>
                <c:pt idx="2">
                  <c:v>674444</c:v>
                </c:pt>
                <c:pt idx="3">
                  <c:v>7770166</c:v>
                </c:pt>
                <c:pt idx="4">
                  <c:v>31869086</c:v>
                </c:pt>
                <c:pt idx="5">
                  <c:v>4432664</c:v>
                </c:pt>
                <c:pt idx="6">
                  <c:v>-2879703</c:v>
                </c:pt>
                <c:pt idx="7">
                  <c:v>25047477</c:v>
                </c:pt>
                <c:pt idx="8">
                  <c:v>9581077</c:v>
                </c:pt>
                <c:pt idx="9">
                  <c:v>3896332</c:v>
                </c:pt>
                <c:pt idx="10">
                  <c:v>2198914</c:v>
                </c:pt>
                <c:pt idx="11">
                  <c:v>-245006</c:v>
                </c:pt>
                <c:pt idx="12">
                  <c:v>29213454</c:v>
                </c:pt>
                <c:pt idx="13">
                  <c:v>33251000</c:v>
                </c:pt>
                <c:pt idx="14">
                  <c:v>36434000</c:v>
                </c:pt>
                <c:pt idx="15">
                  <c:v>38678000</c:v>
                </c:pt>
                <c:pt idx="16">
                  <c:v>34801000</c:v>
                </c:pt>
                <c:pt idx="17">
                  <c:v>26540000</c:v>
                </c:pt>
                <c:pt idx="18">
                  <c:v>41982000</c:v>
                </c:pt>
                <c:pt idx="19">
                  <c:v>21895000</c:v>
                </c:pt>
                <c:pt idx="20">
                  <c:v>14043000</c:v>
                </c:pt>
                <c:pt idx="21">
                  <c:v>-95933000</c:v>
                </c:pt>
                <c:pt idx="22">
                  <c:v>220899000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E-DD45-891A-B34A4FD6282F}"/>
            </c:ext>
          </c:extLst>
        </c:ser>
        <c:ser>
          <c:idx val="2"/>
          <c:order val="2"/>
          <c:tx>
            <c:strRef>
              <c:f>'Sheet 1'!$A$106:$B$106</c:f>
              <c:strCache>
                <c:ptCount val="2"/>
                <c:pt idx="0">
                  <c:v>Free Cash Flow</c:v>
                </c:pt>
                <c:pt idx="1">
                  <c:v>- 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1'!$C$106:$Y$106</c:f>
              <c:numCache>
                <c:formatCode>#,###,,;\(#,###,,\);\ \-\ \-</c:formatCode>
                <c:ptCount val="23"/>
                <c:pt idx="0">
                  <c:v>-91293</c:v>
                </c:pt>
                <c:pt idx="1">
                  <c:v>-923026</c:v>
                </c:pt>
                <c:pt idx="2">
                  <c:v>-1212501</c:v>
                </c:pt>
                <c:pt idx="3">
                  <c:v>715436</c:v>
                </c:pt>
                <c:pt idx="4">
                  <c:v>18981881</c:v>
                </c:pt>
                <c:pt idx="5">
                  <c:v>-6744516</c:v>
                </c:pt>
                <c:pt idx="6">
                  <c:v>5412632</c:v>
                </c:pt>
                <c:pt idx="7">
                  <c:v>9400851</c:v>
                </c:pt>
                <c:pt idx="8">
                  <c:v>1227960</c:v>
                </c:pt>
                <c:pt idx="9">
                  <c:v>-4062589</c:v>
                </c:pt>
                <c:pt idx="10">
                  <c:v>-3771149</c:v>
                </c:pt>
                <c:pt idx="11">
                  <c:v>14998216</c:v>
                </c:pt>
                <c:pt idx="12">
                  <c:v>24754244</c:v>
                </c:pt>
                <c:pt idx="13">
                  <c:v>30320000</c:v>
                </c:pt>
                <c:pt idx="14">
                  <c:v>32744000</c:v>
                </c:pt>
                <c:pt idx="15">
                  <c:v>39941000</c:v>
                </c:pt>
                <c:pt idx="16">
                  <c:v>9473000</c:v>
                </c:pt>
                <c:pt idx="17">
                  <c:v>7047000</c:v>
                </c:pt>
                <c:pt idx="18">
                  <c:v>52178000</c:v>
                </c:pt>
                <c:pt idx="19">
                  <c:v>49330000</c:v>
                </c:pt>
                <c:pt idx="20">
                  <c:v>-34389000</c:v>
                </c:pt>
                <c:pt idx="21">
                  <c:v>74216000</c:v>
                </c:pt>
                <c:pt idx="22">
                  <c:v>179559000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CE-DD45-891A-B34A4FD62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6378047"/>
        <c:axId val="1715785119"/>
      </c:barChart>
      <c:catAx>
        <c:axId val="171637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85119"/>
        <c:crosses val="autoZero"/>
        <c:auto val="1"/>
        <c:lblAlgn val="ctr"/>
        <c:lblOffset val="100"/>
        <c:noMultiLvlLbl val="0"/>
      </c:catAx>
      <c:valAx>
        <c:axId val="171578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05422008199391"/>
          <c:y val="0.91570310583504488"/>
          <c:w val="0.36389145571679571"/>
          <c:h val="5.0087975411137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31749</xdr:colOff>
      <xdr:row>108</xdr:row>
      <xdr:rowOff>25399</xdr:rowOff>
    </xdr:from>
    <xdr:to>
      <xdr:col>33</xdr:col>
      <xdr:colOff>15874</xdr:colOff>
      <xdr:row>131</xdr:row>
      <xdr:rowOff>15874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844BBE-9986-D6D8-C789-E1B7ED0B9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Archives/edgar/data/1069183/000095015305001220/0000950153-05-001220-index.htm" TargetMode="External"/><Relationship Id="rId18" Type="http://schemas.openxmlformats.org/officeDocument/2006/relationships/hyperlink" Target="https://www.sec.gov/Archives/edgar/data/1069183/000095015308000423/0000950153-08-000423-index.htm" TargetMode="External"/><Relationship Id="rId26" Type="http://schemas.openxmlformats.org/officeDocument/2006/relationships/hyperlink" Target="https://www.sec.gov/Archives/edgar/data/1069183/000119312512472649/0001193125-12-472649-index.htm" TargetMode="External"/><Relationship Id="rId39" Type="http://schemas.openxmlformats.org/officeDocument/2006/relationships/hyperlink" Target="https://www.sec.gov/Archives/edgar/data/1069183/000106918318000020/0001069183-18-000020-index.htm" TargetMode="External"/><Relationship Id="rId21" Type="http://schemas.openxmlformats.org/officeDocument/2006/relationships/hyperlink" Target="https://www.sec.gov/Archives/edgar/data/1069183/000095015309000201/0000950153-09-000201-index.htm" TargetMode="External"/><Relationship Id="rId34" Type="http://schemas.openxmlformats.org/officeDocument/2006/relationships/hyperlink" Target="https://www.sec.gov/Archives/edgar/data/1069183/000106918316000148/0001069183-16-000148-index.htm" TargetMode="External"/><Relationship Id="rId42" Type="http://schemas.openxmlformats.org/officeDocument/2006/relationships/hyperlink" Target="https://www.sec.gov/Archives/edgar/data/1069183/000106918320000016/0001069183-20-000016-index.htm" TargetMode="External"/><Relationship Id="rId47" Type="http://schemas.openxmlformats.org/officeDocument/2006/relationships/hyperlink" Target="https://www.sec.gov/Archives/edgar/data/1069183/000155837022002006/0001558370-22-002006-index.htm" TargetMode="External"/><Relationship Id="rId50" Type="http://schemas.openxmlformats.org/officeDocument/2006/relationships/hyperlink" Target="https://finbox.com/NASDAQGS:AXON/explorer/revenue_proj" TargetMode="External"/><Relationship Id="rId7" Type="http://schemas.openxmlformats.org/officeDocument/2006/relationships/hyperlink" Target="https://www.sec.gov/Archives/edgar/data/1069183/000095015302000738/0000950153-02-000738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69183/000095015307000571/0000950153-07-000571-index.htm" TargetMode="External"/><Relationship Id="rId29" Type="http://schemas.openxmlformats.org/officeDocument/2006/relationships/hyperlink" Target="https://www.sec.gov/Archives/edgar/data/1069183/000119312513098571/0001193125-13-098571-index.htm" TargetMode="External"/><Relationship Id="rId11" Type="http://schemas.openxmlformats.org/officeDocument/2006/relationships/hyperlink" Target="https://www.sec.gov/Archives/edgar/data/1069183/000095015304000534/0000950153-04-000534-index.htm" TargetMode="External"/><Relationship Id="rId24" Type="http://schemas.openxmlformats.org/officeDocument/2006/relationships/hyperlink" Target="https://www.sec.gov/Archives/edgar/data/1069183/000095012311025257/0000950123-11-025257-index.htm" TargetMode="External"/><Relationship Id="rId32" Type="http://schemas.openxmlformats.org/officeDocument/2006/relationships/hyperlink" Target="https://www.sec.gov/Archives/edgar/data/1069183/000106918315000028/0001069183-15-000028-index.htm" TargetMode="External"/><Relationship Id="rId37" Type="http://schemas.openxmlformats.org/officeDocument/2006/relationships/hyperlink" Target="https://www.sec.gov/Archives/edgar/data/1069183/000106918317000042/0001069183-17-000042-index.htm" TargetMode="External"/><Relationship Id="rId40" Type="http://schemas.openxmlformats.org/officeDocument/2006/relationships/hyperlink" Target="https://www.sec.gov/Archives/edgar/data/1069183/000106918319000023/0001069183-19-000023-index.htm" TargetMode="External"/><Relationship Id="rId45" Type="http://schemas.openxmlformats.org/officeDocument/2006/relationships/hyperlink" Target="https://www.sec.gov/Archives/edgar/data/1069183/000155837021001873/0001558370-21-001873-index.htm" TargetMode="External"/><Relationship Id="rId5" Type="http://schemas.openxmlformats.org/officeDocument/2006/relationships/hyperlink" Target="https://sec.gov/" TargetMode="External"/><Relationship Id="rId15" Type="http://schemas.openxmlformats.org/officeDocument/2006/relationships/hyperlink" Target="https://www.sec.gov/Archives/edgar/data/1069183/000095015306000700/0000950153-06-000700-index.htm" TargetMode="External"/><Relationship Id="rId23" Type="http://schemas.openxmlformats.org/officeDocument/2006/relationships/hyperlink" Target="https://www.sec.gov/Archives/edgar/data/1069183/000095012310024799/0000950123-10-024799-index.htm" TargetMode="External"/><Relationship Id="rId28" Type="http://schemas.openxmlformats.org/officeDocument/2006/relationships/hyperlink" Target="https://www.sec.gov/Archives/edgar/data/1069183/000119312513098571/0001193125-13-098571-index.htm" TargetMode="External"/><Relationship Id="rId36" Type="http://schemas.openxmlformats.org/officeDocument/2006/relationships/hyperlink" Target="https://www.sec.gov/Archives/edgar/data/1069183/000106918317000042/0001069183-17-000042-index.htm" TargetMode="External"/><Relationship Id="rId49" Type="http://schemas.openxmlformats.org/officeDocument/2006/relationships/hyperlink" Target="https://www.sec.gov/Archives/edgar/data/1069183/000155837023002413/0001558370-23-002413-index.htm" TargetMode="External"/><Relationship Id="rId10" Type="http://schemas.openxmlformats.org/officeDocument/2006/relationships/hyperlink" Target="https://www.sec.gov/Archives/edgar/data/1069183/000095015304000534/0000950153-04-000534-index.htm" TargetMode="External"/><Relationship Id="rId19" Type="http://schemas.openxmlformats.org/officeDocument/2006/relationships/hyperlink" Target="https://www.sec.gov/Archives/edgar/data/1069183/000095015308000423/0000950153-08-000423-index.htm" TargetMode="External"/><Relationship Id="rId31" Type="http://schemas.openxmlformats.org/officeDocument/2006/relationships/hyperlink" Target="https://www.sec.gov/Archives/edgar/data/1069183/000119312514091839/0001193125-14-091839-index.htm" TargetMode="External"/><Relationship Id="rId44" Type="http://schemas.openxmlformats.org/officeDocument/2006/relationships/hyperlink" Target="https://www.sec.gov/Archives/edgar/data/1069183/000155837021001873/0001558370-21-00187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www.sec.gov/Archives/edgar/data/1069183/000095015303000486/0000950153-03-000486-index.htm" TargetMode="External"/><Relationship Id="rId14" Type="http://schemas.openxmlformats.org/officeDocument/2006/relationships/hyperlink" Target="https://www.sec.gov/Archives/edgar/data/1069183/000095015306000700/0000950153-06-000700-index.htm" TargetMode="External"/><Relationship Id="rId22" Type="http://schemas.openxmlformats.org/officeDocument/2006/relationships/hyperlink" Target="https://www.sec.gov/Archives/edgar/data/1069183/000095012310024799/0000950123-10-024799-index.htm" TargetMode="External"/><Relationship Id="rId27" Type="http://schemas.openxmlformats.org/officeDocument/2006/relationships/hyperlink" Target="https://www.sec.gov/Archives/edgar/data/1069183/000119312512472649/0001193125-12-472649-index.htm" TargetMode="External"/><Relationship Id="rId30" Type="http://schemas.openxmlformats.org/officeDocument/2006/relationships/hyperlink" Target="https://www.sec.gov/Archives/edgar/data/1069183/000119312514091839/0001193125-14-091839-index.htm" TargetMode="External"/><Relationship Id="rId35" Type="http://schemas.openxmlformats.org/officeDocument/2006/relationships/hyperlink" Target="https://www.sec.gov/Archives/edgar/data/1069183/000106918316000148/0001069183-16-000148-index.htm" TargetMode="External"/><Relationship Id="rId43" Type="http://schemas.openxmlformats.org/officeDocument/2006/relationships/hyperlink" Target="https://www.sec.gov/Archives/edgar/data/1069183/000106918320000016/0001069183-20-000016-index.htm" TargetMode="External"/><Relationship Id="rId48" Type="http://schemas.openxmlformats.org/officeDocument/2006/relationships/hyperlink" Target="https://www.sec.gov/Archives/edgar/data/1069183/000155837023002413/0001558370-23-002413-index.htm" TargetMode="External"/><Relationship Id="rId8" Type="http://schemas.openxmlformats.org/officeDocument/2006/relationships/hyperlink" Target="https://www.sec.gov/Archives/edgar/data/1069183/000095015303000486/0000950153-03-000486-index.htm" TargetMode="External"/><Relationship Id="rId51" Type="http://schemas.openxmlformats.org/officeDocument/2006/relationships/drawing" Target="../drawings/drawing1.xm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www.sec.gov/Archives/edgar/data/1069183/000095015305001220/0000950153-05-001220-index.htm" TargetMode="External"/><Relationship Id="rId17" Type="http://schemas.openxmlformats.org/officeDocument/2006/relationships/hyperlink" Target="https://www.sec.gov/Archives/edgar/data/1069183/000095015307000571/0000950153-07-000571-index.htm" TargetMode="External"/><Relationship Id="rId25" Type="http://schemas.openxmlformats.org/officeDocument/2006/relationships/hyperlink" Target="https://www.sec.gov/Archives/edgar/data/1069183/000095012311025257/0000950123-11-025257-index.htm" TargetMode="External"/><Relationship Id="rId33" Type="http://schemas.openxmlformats.org/officeDocument/2006/relationships/hyperlink" Target="https://www.sec.gov/Archives/edgar/data/1069183/000106918315000028/0001069183-15-000028-index.htm" TargetMode="External"/><Relationship Id="rId38" Type="http://schemas.openxmlformats.org/officeDocument/2006/relationships/hyperlink" Target="https://www.sec.gov/Archives/edgar/data/1069183/000106918318000020/0001069183-18-000020-index.htm" TargetMode="External"/><Relationship Id="rId46" Type="http://schemas.openxmlformats.org/officeDocument/2006/relationships/hyperlink" Target="https://www.sec.gov/Archives/edgar/data/1069183/000155837022002006/0001558370-22-002006-index.htm" TargetMode="External"/><Relationship Id="rId20" Type="http://schemas.openxmlformats.org/officeDocument/2006/relationships/hyperlink" Target="https://www.sec.gov/Archives/edgar/data/1069183/000095015309000201/0000950153-09-000201-index.htm" TargetMode="External"/><Relationship Id="rId41" Type="http://schemas.openxmlformats.org/officeDocument/2006/relationships/hyperlink" Target="https://www.sec.gov/Archives/edgar/data/1069183/000106918319000023/0001069183-19-000023-index.htm" TargetMode="External"/><Relationship Id="rId1" Type="http://schemas.openxmlformats.org/officeDocument/2006/relationships/hyperlink" Target="https://roic.ai/company/AXON" TargetMode="External"/><Relationship Id="rId6" Type="http://schemas.openxmlformats.org/officeDocument/2006/relationships/hyperlink" Target="https://www.sec.gov/Archives/edgar/data/1069183/000095015302000738/0000950153-02-000738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8"/>
  <sheetViews>
    <sheetView tabSelected="1" zoomScale="80" zoomScaleNormal="80" workbookViewId="0">
      <pane xSplit="1" ySplit="1" topLeftCell="Y92" activePane="bottomRight" state="frozen"/>
      <selection pane="topRight"/>
      <selection pane="bottomLeft"/>
      <selection pane="bottomRight" activeCell="AC99" sqref="AC99"/>
    </sheetView>
  </sheetViews>
  <sheetFormatPr baseColWidth="10" defaultRowHeight="16" x14ac:dyDescent="0.2"/>
  <cols>
    <col min="1" max="1" width="50" customWidth="1"/>
    <col min="2" max="25" width="15" customWidth="1"/>
    <col min="26" max="34" width="21" customWidth="1"/>
  </cols>
  <sheetData>
    <row r="1" spans="1:34" ht="22" thickBot="1" x14ac:dyDescent="0.3">
      <c r="A1" s="3" t="s">
        <v>160</v>
      </c>
      <c r="B1" s="8">
        <v>1999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27">
        <v>2023</v>
      </c>
      <c r="AA1" s="27">
        <v>2024</v>
      </c>
      <c r="AB1" s="27">
        <v>2025</v>
      </c>
      <c r="AC1" s="27">
        <v>2026</v>
      </c>
      <c r="AD1" s="27">
        <v>2027</v>
      </c>
    </row>
    <row r="2" spans="1:34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/>
      <c r="AD2" s="9"/>
      <c r="AE2" s="9"/>
      <c r="AF2" s="9"/>
      <c r="AG2" s="9"/>
      <c r="AH2" s="9"/>
    </row>
    <row r="3" spans="1:34" ht="40" x14ac:dyDescent="0.25">
      <c r="A3" s="5" t="s">
        <v>1</v>
      </c>
      <c r="B3" s="1" t="s">
        <v>92</v>
      </c>
      <c r="C3" s="1">
        <v>3412620</v>
      </c>
      <c r="D3" s="1">
        <v>6853272</v>
      </c>
      <c r="E3" s="1">
        <v>9842777</v>
      </c>
      <c r="F3" s="1">
        <v>24455506</v>
      </c>
      <c r="G3" s="1">
        <v>67639879</v>
      </c>
      <c r="H3" s="1">
        <v>47694181</v>
      </c>
      <c r="I3" s="1">
        <v>67717851</v>
      </c>
      <c r="J3" s="1">
        <v>100727191</v>
      </c>
      <c r="K3" s="1">
        <v>92845490</v>
      </c>
      <c r="L3" s="1">
        <v>104251560</v>
      </c>
      <c r="M3" s="1">
        <v>86930019</v>
      </c>
      <c r="N3" s="1">
        <v>90027906</v>
      </c>
      <c r="O3" s="1">
        <v>114752748</v>
      </c>
      <c r="P3" s="1">
        <v>137831000</v>
      </c>
      <c r="Q3" s="1">
        <v>164525000</v>
      </c>
      <c r="R3" s="1">
        <v>197892000</v>
      </c>
      <c r="S3" s="1">
        <v>268245000</v>
      </c>
      <c r="T3" s="1">
        <v>343798000</v>
      </c>
      <c r="U3" s="1">
        <v>420068000</v>
      </c>
      <c r="V3" s="1">
        <v>530860000</v>
      </c>
      <c r="W3" s="1">
        <v>681003000</v>
      </c>
      <c r="X3" s="1">
        <v>863381000</v>
      </c>
      <c r="Y3" s="1">
        <v>1189935000</v>
      </c>
      <c r="Z3" s="28">
        <v>1433000000</v>
      </c>
      <c r="AA3" s="28">
        <v>1718000000</v>
      </c>
      <c r="AB3" s="28">
        <v>2059000000</v>
      </c>
      <c r="AC3" s="28">
        <v>2317000000</v>
      </c>
      <c r="AD3" s="28">
        <v>2491000000</v>
      </c>
      <c r="AE3" s="18" t="s">
        <v>109</v>
      </c>
      <c r="AF3" s="19" t="s">
        <v>110</v>
      </c>
      <c r="AG3" s="19" t="s">
        <v>111</v>
      </c>
      <c r="AH3" s="19" t="s">
        <v>112</v>
      </c>
    </row>
    <row r="4" spans="1:34" ht="19" x14ac:dyDescent="0.25">
      <c r="A4" s="14" t="s">
        <v>94</v>
      </c>
      <c r="B4" s="1"/>
      <c r="C4" s="15" t="e">
        <f>(C3/B3)-1</f>
        <v>#VALUE!</v>
      </c>
      <c r="D4" s="15">
        <f>(D3/C3)-1</f>
        <v>1.0082142166429313</v>
      </c>
      <c r="E4" s="15">
        <f>(E3/D3)-1</f>
        <v>0.43621572294226763</v>
      </c>
      <c r="F4" s="15">
        <f t="shared" ref="F4:AD4" si="0">(F3/E3)-1</f>
        <v>1.4846144538274109</v>
      </c>
      <c r="G4" s="15">
        <f t="shared" si="0"/>
        <v>1.7658343687511517</v>
      </c>
      <c r="H4" s="16">
        <f t="shared" si="0"/>
        <v>-0.29488074631239358</v>
      </c>
      <c r="I4" s="16">
        <f t="shared" si="0"/>
        <v>0.41983465446235457</v>
      </c>
      <c r="J4" s="16">
        <f t="shared" si="0"/>
        <v>0.48745403926063746</v>
      </c>
      <c r="K4" s="16">
        <f t="shared" si="0"/>
        <v>-7.8247997603745345E-2</v>
      </c>
      <c r="L4" s="16">
        <f t="shared" si="0"/>
        <v>0.12285001673209983</v>
      </c>
      <c r="M4" s="16">
        <f t="shared" si="0"/>
        <v>-0.16615138420950248</v>
      </c>
      <c r="N4" s="16">
        <f t="shared" si="0"/>
        <v>3.5636561864780036E-2</v>
      </c>
      <c r="O4" s="16">
        <f t="shared" si="0"/>
        <v>0.27463531141110842</v>
      </c>
      <c r="P4" s="16">
        <f t="shared" si="0"/>
        <v>0.2011128482953628</v>
      </c>
      <c r="Q4" s="16">
        <f t="shared" si="0"/>
        <v>0.19367196058941749</v>
      </c>
      <c r="R4" s="16">
        <f t="shared" si="0"/>
        <v>0.20280808387783011</v>
      </c>
      <c r="S4" s="16">
        <f t="shared" si="0"/>
        <v>0.35551209750773149</v>
      </c>
      <c r="T4" s="16">
        <f t="shared" si="0"/>
        <v>0.28165669443978447</v>
      </c>
      <c r="U4" s="16">
        <f t="shared" si="0"/>
        <v>0.22184538595337955</v>
      </c>
      <c r="V4" s="16">
        <f t="shared" si="0"/>
        <v>0.26374777416989637</v>
      </c>
      <c r="W4" s="16">
        <f t="shared" si="0"/>
        <v>0.28282974795614657</v>
      </c>
      <c r="X4" s="16">
        <f t="shared" si="0"/>
        <v>0.26780792448785107</v>
      </c>
      <c r="Y4" s="16">
        <f t="shared" si="0"/>
        <v>0.37822699364475243</v>
      </c>
      <c r="Z4" s="16">
        <f t="shared" si="0"/>
        <v>0.20426745998731022</v>
      </c>
      <c r="AA4" s="16">
        <f t="shared" si="0"/>
        <v>0.19888346127006273</v>
      </c>
      <c r="AB4" s="16">
        <f t="shared" si="0"/>
        <v>0.19848661233993026</v>
      </c>
      <c r="AC4" s="16">
        <f t="shared" si="0"/>
        <v>0.12530354541039346</v>
      </c>
      <c r="AD4" s="16">
        <f t="shared" si="0"/>
        <v>7.5097108329736706E-2</v>
      </c>
      <c r="AE4" s="17">
        <f>(Y4+X4+W4)/3</f>
        <v>0.30962155536291669</v>
      </c>
      <c r="AF4" s="17">
        <f>(Y20+X20+W20)/3</f>
        <v>-3.8308780172034744</v>
      </c>
      <c r="AG4" s="17">
        <f>(Y29+X29+W29)/3</f>
        <v>9.1356651132061888</v>
      </c>
      <c r="AH4" s="17">
        <f>(Y105+X105+W105)/3</f>
        <v>-1.1452808264086467</v>
      </c>
    </row>
    <row r="5" spans="1:34" ht="19" x14ac:dyDescent="0.25">
      <c r="A5" s="5" t="s">
        <v>2</v>
      </c>
      <c r="B5" s="1" t="s">
        <v>92</v>
      </c>
      <c r="C5" s="1">
        <v>1713586</v>
      </c>
      <c r="D5" s="1">
        <v>2914430</v>
      </c>
      <c r="E5" s="1">
        <v>4306551</v>
      </c>
      <c r="F5" s="1">
        <v>9402616</v>
      </c>
      <c r="G5" s="1">
        <v>22455496</v>
      </c>
      <c r="H5" s="1">
        <v>17511237</v>
      </c>
      <c r="I5" s="1">
        <v>24538790</v>
      </c>
      <c r="J5" s="1">
        <v>43117423</v>
      </c>
      <c r="K5" s="1">
        <v>35841263</v>
      </c>
      <c r="L5" s="1">
        <v>40849151</v>
      </c>
      <c r="M5" s="1">
        <v>41563144</v>
      </c>
      <c r="N5" s="1">
        <v>45498669</v>
      </c>
      <c r="O5" s="1">
        <v>47038173</v>
      </c>
      <c r="P5" s="1">
        <v>51988000</v>
      </c>
      <c r="Q5" s="1">
        <v>62977000</v>
      </c>
      <c r="R5" s="1">
        <v>69245000</v>
      </c>
      <c r="S5" s="1">
        <v>97709000</v>
      </c>
      <c r="T5" s="1">
        <v>136710000</v>
      </c>
      <c r="U5" s="1">
        <v>161485000</v>
      </c>
      <c r="V5" s="1">
        <v>223574000</v>
      </c>
      <c r="W5" s="1">
        <v>264672000</v>
      </c>
      <c r="X5" s="1">
        <v>322471000</v>
      </c>
      <c r="Y5" s="1">
        <v>461297000</v>
      </c>
    </row>
    <row r="6" spans="1:34" ht="20" x14ac:dyDescent="0.25">
      <c r="A6" s="6" t="s">
        <v>3</v>
      </c>
      <c r="B6" s="10" t="s">
        <v>92</v>
      </c>
      <c r="C6" s="10">
        <v>1699034</v>
      </c>
      <c r="D6" s="10">
        <v>3938842</v>
      </c>
      <c r="E6" s="10">
        <v>5536226</v>
      </c>
      <c r="F6" s="10">
        <v>15052890</v>
      </c>
      <c r="G6" s="10">
        <v>45184383</v>
      </c>
      <c r="H6" s="10">
        <v>30182944</v>
      </c>
      <c r="I6" s="10">
        <v>43179061</v>
      </c>
      <c r="J6" s="10">
        <v>57609768</v>
      </c>
      <c r="K6" s="10">
        <v>57004227</v>
      </c>
      <c r="L6" s="10">
        <v>63402409</v>
      </c>
      <c r="M6" s="10">
        <v>45366875</v>
      </c>
      <c r="N6" s="10">
        <v>44529237</v>
      </c>
      <c r="O6" s="10">
        <v>67714575</v>
      </c>
      <c r="P6" s="10">
        <v>85843000</v>
      </c>
      <c r="Q6" s="10">
        <v>101548000</v>
      </c>
      <c r="R6" s="10">
        <v>128647000</v>
      </c>
      <c r="S6" s="10">
        <v>170536000</v>
      </c>
      <c r="T6" s="10">
        <v>207088000</v>
      </c>
      <c r="U6" s="10">
        <v>258583000</v>
      </c>
      <c r="V6" s="10">
        <v>307286000</v>
      </c>
      <c r="W6" s="10">
        <v>416331000</v>
      </c>
      <c r="X6" s="10">
        <v>540910000</v>
      </c>
      <c r="Y6" s="10">
        <v>728638000</v>
      </c>
      <c r="AE6" s="18" t="s">
        <v>113</v>
      </c>
      <c r="AF6" s="19" t="s">
        <v>114</v>
      </c>
      <c r="AG6" s="19" t="s">
        <v>115</v>
      </c>
      <c r="AH6" s="19" t="s">
        <v>116</v>
      </c>
    </row>
    <row r="7" spans="1:34" ht="19" x14ac:dyDescent="0.25">
      <c r="A7" s="5" t="s">
        <v>4</v>
      </c>
      <c r="B7" s="2" t="s">
        <v>92</v>
      </c>
      <c r="C7" s="2">
        <v>0.49790000000000001</v>
      </c>
      <c r="D7" s="2">
        <v>0.57469999999999999</v>
      </c>
      <c r="E7" s="2">
        <v>0.5625</v>
      </c>
      <c r="F7" s="2">
        <v>0.61550000000000005</v>
      </c>
      <c r="G7" s="2">
        <v>0.66800000000000004</v>
      </c>
      <c r="H7" s="2">
        <v>0.63280000000000003</v>
      </c>
      <c r="I7" s="2">
        <v>0.63759999999999994</v>
      </c>
      <c r="J7" s="2">
        <v>0.57189999999999996</v>
      </c>
      <c r="K7" s="2">
        <v>0.61399999999999999</v>
      </c>
      <c r="L7" s="2">
        <v>0.60819999999999996</v>
      </c>
      <c r="M7" s="2">
        <v>0.52190000000000003</v>
      </c>
      <c r="N7" s="2">
        <v>0.49459999999999998</v>
      </c>
      <c r="O7" s="2">
        <v>0.59009999999999996</v>
      </c>
      <c r="P7" s="2">
        <v>0.62280000000000002</v>
      </c>
      <c r="Q7" s="2">
        <v>0.61719999999999997</v>
      </c>
      <c r="R7" s="2">
        <v>0.65010000000000001</v>
      </c>
      <c r="S7" s="2">
        <v>0.63570000000000004</v>
      </c>
      <c r="T7" s="2">
        <v>0.60240000000000005</v>
      </c>
      <c r="U7" s="2">
        <v>0.61560000000000004</v>
      </c>
      <c r="V7" s="2">
        <v>0.57879999999999998</v>
      </c>
      <c r="W7" s="2">
        <v>0.61129999999999995</v>
      </c>
      <c r="X7" s="2">
        <v>0.62649999999999995</v>
      </c>
      <c r="Y7" s="2">
        <v>0.61229999999999996</v>
      </c>
      <c r="AE7" s="17">
        <f>Y7</f>
        <v>0.61229999999999996</v>
      </c>
      <c r="AF7" s="20">
        <f>Y21</f>
        <v>0.18559999999999999</v>
      </c>
      <c r="AG7" s="20">
        <f>Y30</f>
        <v>0.1237</v>
      </c>
      <c r="AH7" s="20">
        <f>Y106/Y3</f>
        <v>0.15089815830276443</v>
      </c>
    </row>
    <row r="8" spans="1:34" ht="19" x14ac:dyDescent="0.25">
      <c r="A8" s="5" t="s">
        <v>5</v>
      </c>
      <c r="B8" s="1" t="s">
        <v>92</v>
      </c>
      <c r="C8" s="1">
        <v>7137</v>
      </c>
      <c r="D8" s="1">
        <v>43362</v>
      </c>
      <c r="E8" s="1">
        <v>136503</v>
      </c>
      <c r="F8" s="1">
        <v>498470</v>
      </c>
      <c r="G8" s="1">
        <v>823593</v>
      </c>
      <c r="H8" s="1">
        <v>1574048</v>
      </c>
      <c r="I8" s="1">
        <v>2704521</v>
      </c>
      <c r="J8" s="1">
        <v>4421596</v>
      </c>
      <c r="K8" s="1">
        <v>12918161</v>
      </c>
      <c r="L8" s="1">
        <v>20002351</v>
      </c>
      <c r="M8" s="1">
        <v>11411889</v>
      </c>
      <c r="N8" s="1">
        <v>9989219</v>
      </c>
      <c r="O8" s="1">
        <v>8139359</v>
      </c>
      <c r="P8" s="1">
        <v>9888000</v>
      </c>
      <c r="Q8" s="1">
        <v>14885000</v>
      </c>
      <c r="R8" s="1">
        <v>23614000</v>
      </c>
      <c r="S8" s="1">
        <v>30609000</v>
      </c>
      <c r="T8" s="1">
        <v>55373000</v>
      </c>
      <c r="U8" s="1">
        <v>76856000</v>
      </c>
      <c r="V8" s="1">
        <v>100721000</v>
      </c>
      <c r="W8" s="1">
        <v>123195000</v>
      </c>
      <c r="X8" s="1">
        <v>194026000</v>
      </c>
      <c r="Y8" s="1">
        <v>233810000</v>
      </c>
    </row>
    <row r="9" spans="1:34" ht="19" customHeight="1" x14ac:dyDescent="0.25">
      <c r="A9" s="14" t="s">
        <v>95</v>
      </c>
      <c r="B9" s="15" t="e">
        <f>B8/B3</f>
        <v>#VALUE!</v>
      </c>
      <c r="C9" s="15">
        <f t="shared" ref="C9:Y9" si="1">C8/C3</f>
        <v>2.0913550292736959E-3</v>
      </c>
      <c r="D9" s="15">
        <f t="shared" si="1"/>
        <v>6.3271967025385831E-3</v>
      </c>
      <c r="E9" s="15">
        <f t="shared" si="1"/>
        <v>1.3868342237155225E-2</v>
      </c>
      <c r="F9" s="15">
        <f t="shared" si="1"/>
        <v>2.0382730989086873E-2</v>
      </c>
      <c r="G9" s="15">
        <f t="shared" si="1"/>
        <v>1.2176145377196787E-2</v>
      </c>
      <c r="H9" s="15">
        <f t="shared" si="1"/>
        <v>3.3002935934679324E-2</v>
      </c>
      <c r="I9" s="15">
        <f t="shared" si="1"/>
        <v>3.993808072852164E-2</v>
      </c>
      <c r="J9" s="15">
        <f t="shared" si="1"/>
        <v>4.3896746807920016E-2</v>
      </c>
      <c r="K9" s="15">
        <f t="shared" si="1"/>
        <v>0.13913611743553725</v>
      </c>
      <c r="L9" s="15">
        <f t="shared" si="1"/>
        <v>0.19186620324914083</v>
      </c>
      <c r="M9" s="15">
        <f t="shared" si="1"/>
        <v>0.13127673421997066</v>
      </c>
      <c r="N9" s="15">
        <f t="shared" si="1"/>
        <v>0.1109569181804584</v>
      </c>
      <c r="O9" s="15">
        <f t="shared" si="1"/>
        <v>7.0929534515373871E-2</v>
      </c>
      <c r="P9" s="15">
        <f t="shared" si="1"/>
        <v>7.1740029456363222E-2</v>
      </c>
      <c r="Q9" s="15">
        <f t="shared" si="1"/>
        <v>9.0472572557362102E-2</v>
      </c>
      <c r="R9" s="15">
        <f t="shared" si="1"/>
        <v>0.11932771410668445</v>
      </c>
      <c r="S9" s="15">
        <f t="shared" si="1"/>
        <v>0.11410837107867808</v>
      </c>
      <c r="T9" s="15">
        <f t="shared" si="1"/>
        <v>0.16106260071320949</v>
      </c>
      <c r="U9" s="15">
        <f t="shared" si="1"/>
        <v>0.18296085395697839</v>
      </c>
      <c r="V9" s="15">
        <f t="shared" si="1"/>
        <v>0.18973175601853595</v>
      </c>
      <c r="W9" s="15">
        <f t="shared" si="1"/>
        <v>0.18090228677406708</v>
      </c>
      <c r="X9" s="15">
        <f t="shared" si="1"/>
        <v>0.22472813277104778</v>
      </c>
      <c r="Y9" s="15">
        <f t="shared" si="1"/>
        <v>0.19648972422863434</v>
      </c>
      <c r="AE9" s="18" t="s">
        <v>96</v>
      </c>
      <c r="AF9" s="19" t="s">
        <v>97</v>
      </c>
      <c r="AG9" s="19" t="s">
        <v>98</v>
      </c>
      <c r="AH9" s="19" t="s">
        <v>99</v>
      </c>
    </row>
    <row r="10" spans="1:34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>
        <v>41301698</v>
      </c>
      <c r="O10" s="1" t="s">
        <v>92</v>
      </c>
      <c r="P10" s="1">
        <v>39329000</v>
      </c>
      <c r="Q10" s="1">
        <v>44788000</v>
      </c>
      <c r="R10" s="1">
        <v>57061000</v>
      </c>
      <c r="S10" s="1">
        <v>92944000</v>
      </c>
      <c r="T10" s="1">
        <v>121324000</v>
      </c>
      <c r="U10" s="1">
        <v>131408000</v>
      </c>
      <c r="V10" s="1">
        <v>178259000</v>
      </c>
      <c r="W10" s="1">
        <v>268743000</v>
      </c>
      <c r="X10" s="1">
        <v>453125000</v>
      </c>
      <c r="Y10" s="1" t="s">
        <v>92</v>
      </c>
      <c r="AE10" s="17">
        <f>Y9</f>
        <v>0.19648972422863434</v>
      </c>
      <c r="AF10" s="20">
        <f>Y13</f>
        <v>0.33747641677906776</v>
      </c>
      <c r="AG10" s="20">
        <f>Y80</f>
        <v>8.9228403232109316E-2</v>
      </c>
      <c r="AH10" s="20">
        <f>Y89</f>
        <v>4.6894998466302781E-2</v>
      </c>
    </row>
    <row r="11" spans="1:34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>
        <v>6025000</v>
      </c>
      <c r="Q11" s="1">
        <v>8124000</v>
      </c>
      <c r="R11" s="1">
        <v>10776000</v>
      </c>
      <c r="S11" s="1">
        <v>15132000</v>
      </c>
      <c r="T11" s="1">
        <v>17368000</v>
      </c>
      <c r="U11" s="1">
        <v>19427000</v>
      </c>
      <c r="V11" s="1">
        <v>28961000</v>
      </c>
      <c r="W11" s="1">
        <v>32464000</v>
      </c>
      <c r="X11" s="1">
        <v>52058000</v>
      </c>
      <c r="Y11" s="1" t="s">
        <v>92</v>
      </c>
    </row>
    <row r="12" spans="1:34" ht="20" x14ac:dyDescent="0.25">
      <c r="A12" s="5" t="s">
        <v>8</v>
      </c>
      <c r="B12" s="1" t="s">
        <v>92</v>
      </c>
      <c r="C12" s="1">
        <v>1613979</v>
      </c>
      <c r="D12" s="1">
        <v>3123224</v>
      </c>
      <c r="E12" s="1">
        <v>5038712</v>
      </c>
      <c r="F12" s="1">
        <v>6973721</v>
      </c>
      <c r="G12" s="1">
        <v>13485256</v>
      </c>
      <c r="H12" s="1">
        <v>27058242</v>
      </c>
      <c r="I12" s="1">
        <v>29680764</v>
      </c>
      <c r="J12" s="1">
        <v>32814170</v>
      </c>
      <c r="K12" s="1">
        <v>38860729</v>
      </c>
      <c r="L12" s="1">
        <v>43479232</v>
      </c>
      <c r="M12" s="1">
        <v>39094625</v>
      </c>
      <c r="N12" s="1">
        <v>41301698</v>
      </c>
      <c r="O12" s="1">
        <v>39086190</v>
      </c>
      <c r="P12" s="1">
        <v>45354000</v>
      </c>
      <c r="Q12" s="1">
        <v>52912000</v>
      </c>
      <c r="R12" s="1">
        <v>67837000</v>
      </c>
      <c r="S12" s="1">
        <v>108076000</v>
      </c>
      <c r="T12" s="1">
        <v>138692000</v>
      </c>
      <c r="U12" s="1">
        <v>150835000</v>
      </c>
      <c r="V12" s="1">
        <v>207220000</v>
      </c>
      <c r="W12" s="1">
        <v>301207000</v>
      </c>
      <c r="X12" s="1">
        <v>505183000</v>
      </c>
      <c r="Y12" s="1">
        <v>401575000</v>
      </c>
      <c r="AE12" s="18" t="s">
        <v>117</v>
      </c>
      <c r="AF12" s="19" t="s">
        <v>118</v>
      </c>
      <c r="AG12" s="19" t="s">
        <v>119</v>
      </c>
      <c r="AH12" s="19" t="s">
        <v>120</v>
      </c>
    </row>
    <row r="13" spans="1:34" ht="19" x14ac:dyDescent="0.25">
      <c r="A13" s="14" t="s">
        <v>100</v>
      </c>
      <c r="B13" s="15" t="e">
        <f>B12/B3</f>
        <v>#VALUE!</v>
      </c>
      <c r="C13" s="15">
        <f t="shared" ref="C13:Y13" si="2">C12/C3</f>
        <v>0.47294424811435204</v>
      </c>
      <c r="D13" s="15">
        <f t="shared" si="2"/>
        <v>0.45572742479796513</v>
      </c>
      <c r="E13" s="15">
        <f t="shared" si="2"/>
        <v>0.51191975597943551</v>
      </c>
      <c r="F13" s="15">
        <f t="shared" si="2"/>
        <v>0.28515954648413327</v>
      </c>
      <c r="G13" s="15">
        <f t="shared" si="2"/>
        <v>0.19936842287964471</v>
      </c>
      <c r="H13" s="15">
        <f t="shared" si="2"/>
        <v>0.56732795139096737</v>
      </c>
      <c r="I13" s="15">
        <f t="shared" si="2"/>
        <v>0.43830044163687354</v>
      </c>
      <c r="J13" s="15">
        <f t="shared" si="2"/>
        <v>0.32577271017117909</v>
      </c>
      <c r="K13" s="15">
        <f t="shared" si="2"/>
        <v>0.41855268360369469</v>
      </c>
      <c r="L13" s="15">
        <f t="shared" si="2"/>
        <v>0.41706073271229704</v>
      </c>
      <c r="M13" s="15">
        <f t="shared" si="2"/>
        <v>0.44972525543794029</v>
      </c>
      <c r="N13" s="15">
        <f t="shared" si="2"/>
        <v>0.45876550766381258</v>
      </c>
      <c r="O13" s="15">
        <f t="shared" si="2"/>
        <v>0.34061223527300627</v>
      </c>
      <c r="P13" s="15">
        <f t="shared" si="2"/>
        <v>0.3290551472455398</v>
      </c>
      <c r="Q13" s="15">
        <f t="shared" si="2"/>
        <v>0.32160461935876006</v>
      </c>
      <c r="R13" s="15">
        <f t="shared" si="2"/>
        <v>0.34279809188850485</v>
      </c>
      <c r="S13" s="15">
        <f t="shared" si="2"/>
        <v>0.40290033365020783</v>
      </c>
      <c r="T13" s="15">
        <f t="shared" si="2"/>
        <v>0.40341130547588994</v>
      </c>
      <c r="U13" s="15">
        <f t="shared" si="2"/>
        <v>0.35907281678204483</v>
      </c>
      <c r="V13" s="15">
        <f t="shared" si="2"/>
        <v>0.39034773763327429</v>
      </c>
      <c r="W13" s="15">
        <f t="shared" si="2"/>
        <v>0.44229907944605235</v>
      </c>
      <c r="X13" s="15">
        <f t="shared" si="2"/>
        <v>0.58512174810425521</v>
      </c>
      <c r="Y13" s="15">
        <f t="shared" si="2"/>
        <v>0.33747641677906776</v>
      </c>
      <c r="AE13" s="17">
        <f>Y28/Y72</f>
        <v>0.115995304657266</v>
      </c>
      <c r="AF13" s="20">
        <f>Y28/Y54</f>
        <v>5.1593432294468167E-2</v>
      </c>
      <c r="AG13" s="20">
        <f>Y22/(Y72+Y56+Y61)</f>
        <v>4.7106967515170989E-2</v>
      </c>
      <c r="AH13" s="21">
        <f>Y67/Y72</f>
        <v>1.2482571811703829</v>
      </c>
    </row>
    <row r="14" spans="1:34" ht="19" x14ac:dyDescent="0.25">
      <c r="A14" s="5" t="s">
        <v>9</v>
      </c>
      <c r="B14" s="1" t="s">
        <v>92</v>
      </c>
      <c r="C14" s="1" t="s">
        <v>92</v>
      </c>
      <c r="D14" s="1" t="s">
        <v>92</v>
      </c>
      <c r="E14" s="1" t="s">
        <v>92</v>
      </c>
      <c r="F14" s="1" t="s">
        <v>92</v>
      </c>
      <c r="G14" s="1" t="s">
        <v>92</v>
      </c>
      <c r="H14" s="1" t="s">
        <v>92</v>
      </c>
      <c r="I14" s="1">
        <v>17650000</v>
      </c>
      <c r="J14" s="1" t="s">
        <v>92</v>
      </c>
      <c r="K14" s="1" t="s">
        <v>92</v>
      </c>
      <c r="L14" s="1" t="s">
        <v>92</v>
      </c>
      <c r="M14" s="1" t="s">
        <v>92</v>
      </c>
      <c r="N14" s="1" t="s">
        <v>92</v>
      </c>
      <c r="O14" s="1" t="s">
        <v>92</v>
      </c>
      <c r="P14" s="1">
        <v>1230000</v>
      </c>
      <c r="Q14" s="1">
        <v>1246000</v>
      </c>
      <c r="R14" s="1">
        <v>1861000</v>
      </c>
      <c r="S14" s="1" t="s">
        <v>92</v>
      </c>
      <c r="T14" s="1" t="s">
        <v>92</v>
      </c>
      <c r="U14" s="1">
        <v>6051000</v>
      </c>
      <c r="V14" s="1">
        <v>5739000</v>
      </c>
      <c r="W14" s="1">
        <v>6079000</v>
      </c>
      <c r="X14" s="1">
        <v>9824000</v>
      </c>
      <c r="Y14" s="1" t="s">
        <v>92</v>
      </c>
    </row>
    <row r="15" spans="1:34" ht="20" x14ac:dyDescent="0.25">
      <c r="A15" s="5" t="s">
        <v>10</v>
      </c>
      <c r="B15" s="1" t="s">
        <v>92</v>
      </c>
      <c r="C15" s="1">
        <v>1621116</v>
      </c>
      <c r="D15" s="1">
        <v>3166586</v>
      </c>
      <c r="E15" s="1">
        <v>5175215</v>
      </c>
      <c r="F15" s="1">
        <v>7472191</v>
      </c>
      <c r="G15" s="1">
        <v>14308849</v>
      </c>
      <c r="H15" s="1">
        <v>28632290</v>
      </c>
      <c r="I15" s="1">
        <v>50035285</v>
      </c>
      <c r="J15" s="1">
        <v>37235766</v>
      </c>
      <c r="K15" s="1">
        <v>51778890</v>
      </c>
      <c r="L15" s="1">
        <v>63481583</v>
      </c>
      <c r="M15" s="1">
        <v>50506514</v>
      </c>
      <c r="N15" s="1">
        <v>51290917</v>
      </c>
      <c r="O15" s="1">
        <v>47225549</v>
      </c>
      <c r="P15" s="1">
        <v>56472000</v>
      </c>
      <c r="Q15" s="1">
        <v>69043000</v>
      </c>
      <c r="R15" s="1">
        <v>93312000</v>
      </c>
      <c r="S15" s="1">
        <v>138685000</v>
      </c>
      <c r="T15" s="1">
        <v>194065000</v>
      </c>
      <c r="U15" s="1">
        <v>233742000</v>
      </c>
      <c r="V15" s="1">
        <v>313680000</v>
      </c>
      <c r="W15" s="1">
        <v>430481000</v>
      </c>
      <c r="X15" s="1">
        <v>709033000</v>
      </c>
      <c r="Y15" s="1">
        <v>635385000</v>
      </c>
      <c r="AE15" s="18" t="s">
        <v>121</v>
      </c>
      <c r="AF15" s="19" t="s">
        <v>122</v>
      </c>
      <c r="AG15" s="19" t="s">
        <v>123</v>
      </c>
      <c r="AH15" s="19" t="s">
        <v>124</v>
      </c>
    </row>
    <row r="16" spans="1:34" ht="19" x14ac:dyDescent="0.25">
      <c r="A16" s="5" t="s">
        <v>11</v>
      </c>
      <c r="B16" s="1" t="s">
        <v>92</v>
      </c>
      <c r="C16" s="1">
        <v>3334702</v>
      </c>
      <c r="D16" s="1">
        <v>6081016</v>
      </c>
      <c r="E16" s="1">
        <v>9481766</v>
      </c>
      <c r="F16" s="1">
        <v>16874807</v>
      </c>
      <c r="G16" s="1">
        <v>36764345</v>
      </c>
      <c r="H16" s="1">
        <v>46143527</v>
      </c>
      <c r="I16" s="1">
        <v>74574075</v>
      </c>
      <c r="J16" s="1">
        <v>80353189</v>
      </c>
      <c r="K16" s="1">
        <v>87620153</v>
      </c>
      <c r="L16" s="1">
        <v>104330734</v>
      </c>
      <c r="M16" s="1">
        <v>92069658</v>
      </c>
      <c r="N16" s="1">
        <v>96789586</v>
      </c>
      <c r="O16" s="1">
        <v>94263722</v>
      </c>
      <c r="P16" s="1">
        <v>108460000</v>
      </c>
      <c r="Q16" s="1">
        <v>132020000</v>
      </c>
      <c r="R16" s="1">
        <v>162557000</v>
      </c>
      <c r="S16" s="1">
        <v>236394000</v>
      </c>
      <c r="T16" s="1">
        <v>330775000</v>
      </c>
      <c r="U16" s="1">
        <v>395227000</v>
      </c>
      <c r="V16" s="1">
        <v>537254000</v>
      </c>
      <c r="W16" s="1">
        <v>695153000</v>
      </c>
      <c r="X16" s="1">
        <v>1031504000</v>
      </c>
      <c r="Y16" s="1">
        <v>1096682000</v>
      </c>
      <c r="AE16" s="29">
        <f>(Y35+X35+W35+V35+U35)/5</f>
        <v>6.1485977241597822E-2</v>
      </c>
      <c r="AF16" s="30">
        <f>AG101/Y3</f>
        <v>13.014773361570169</v>
      </c>
      <c r="AG16" s="30">
        <f>AG101/Y28</f>
        <v>105.25240989812355</v>
      </c>
      <c r="AH16" s="31">
        <f>AG101/Y106</f>
        <v>86.248722369806018</v>
      </c>
    </row>
    <row r="17" spans="1:31" ht="19" x14ac:dyDescent="0.25">
      <c r="A17" s="5" t="s">
        <v>12</v>
      </c>
      <c r="B17" s="1" t="s">
        <v>92</v>
      </c>
      <c r="C17" s="1">
        <v>426362</v>
      </c>
      <c r="D17" s="1">
        <v>246776</v>
      </c>
      <c r="E17" s="1">
        <v>38196</v>
      </c>
      <c r="F17" s="1">
        <v>9307</v>
      </c>
      <c r="G17" s="1">
        <v>1485</v>
      </c>
      <c r="H17" s="1">
        <v>4208</v>
      </c>
      <c r="I17" s="1">
        <v>7281</v>
      </c>
      <c r="J17" s="1" t="s">
        <v>92</v>
      </c>
      <c r="K17" s="1" t="s">
        <v>92</v>
      </c>
      <c r="L17" s="1">
        <v>170547</v>
      </c>
      <c r="M17" s="1">
        <v>25819</v>
      </c>
      <c r="N17" s="1">
        <v>1287192</v>
      </c>
      <c r="O17" s="1">
        <v>82842</v>
      </c>
      <c r="P17" s="1">
        <v>86000</v>
      </c>
      <c r="Q17" s="1">
        <v>-194000</v>
      </c>
      <c r="R17" s="1">
        <v>26000</v>
      </c>
      <c r="S17" s="1">
        <v>-354000</v>
      </c>
      <c r="T17" s="1">
        <v>2738000</v>
      </c>
      <c r="U17" s="1">
        <v>3263000</v>
      </c>
      <c r="V17" s="1">
        <v>8464000</v>
      </c>
      <c r="W17" s="1">
        <v>7859000</v>
      </c>
      <c r="X17" s="1">
        <v>26748000</v>
      </c>
      <c r="Y17" s="1">
        <v>103265000</v>
      </c>
    </row>
    <row r="18" spans="1:31" ht="20" x14ac:dyDescent="0.25">
      <c r="A18" s="5" t="s">
        <v>13</v>
      </c>
      <c r="B18" s="1" t="s">
        <v>92</v>
      </c>
      <c r="C18" s="1">
        <v>124803</v>
      </c>
      <c r="D18" s="1">
        <v>196499</v>
      </c>
      <c r="E18" s="1">
        <v>255502</v>
      </c>
      <c r="F18" s="1">
        <v>393568</v>
      </c>
      <c r="G18" s="1">
        <v>551793</v>
      </c>
      <c r="H18" s="1">
        <v>1712738</v>
      </c>
      <c r="I18" s="1">
        <v>2096595</v>
      </c>
      <c r="J18" s="1">
        <v>2521237</v>
      </c>
      <c r="K18" s="1">
        <v>2637773</v>
      </c>
      <c r="L18" s="1">
        <v>3634412</v>
      </c>
      <c r="M18" s="1">
        <v>7286915</v>
      </c>
      <c r="N18" s="1">
        <v>8096543</v>
      </c>
      <c r="O18" s="1">
        <v>6519250</v>
      </c>
      <c r="P18" s="1">
        <v>5131000</v>
      </c>
      <c r="Q18" s="1">
        <v>4317000</v>
      </c>
      <c r="R18" s="1">
        <v>3291000</v>
      </c>
      <c r="S18" s="1">
        <v>3658000</v>
      </c>
      <c r="T18" s="1">
        <v>8041000</v>
      </c>
      <c r="U18" s="1">
        <v>10615000</v>
      </c>
      <c r="V18" s="1">
        <v>11361000</v>
      </c>
      <c r="W18" s="1">
        <v>12475000</v>
      </c>
      <c r="X18" s="1">
        <v>18694000</v>
      </c>
      <c r="Y18" s="1">
        <v>24381000</v>
      </c>
      <c r="AE18" s="18" t="s">
        <v>125</v>
      </c>
    </row>
    <row r="19" spans="1:31" ht="19" x14ac:dyDescent="0.25">
      <c r="A19" s="6" t="s">
        <v>14</v>
      </c>
      <c r="B19" s="10" t="s">
        <v>92</v>
      </c>
      <c r="C19" s="10">
        <v>77918</v>
      </c>
      <c r="D19" s="10">
        <v>1063300</v>
      </c>
      <c r="E19" s="10">
        <v>674444</v>
      </c>
      <c r="F19" s="10">
        <v>7770166</v>
      </c>
      <c r="G19" s="10">
        <v>31869086</v>
      </c>
      <c r="H19" s="10">
        <v>4432664</v>
      </c>
      <c r="I19" s="10">
        <v>-2879703</v>
      </c>
      <c r="J19" s="10">
        <v>25047477</v>
      </c>
      <c r="K19" s="10">
        <v>9581077</v>
      </c>
      <c r="L19" s="10">
        <v>3896332</v>
      </c>
      <c r="M19" s="10">
        <v>2198914</v>
      </c>
      <c r="N19" s="10">
        <v>-245006</v>
      </c>
      <c r="O19" s="10">
        <v>29213454</v>
      </c>
      <c r="P19" s="10">
        <v>33251000</v>
      </c>
      <c r="Q19" s="10">
        <v>36434000</v>
      </c>
      <c r="R19" s="10">
        <v>38678000</v>
      </c>
      <c r="S19" s="10">
        <v>34801000</v>
      </c>
      <c r="T19" s="10">
        <v>26540000</v>
      </c>
      <c r="U19" s="10">
        <v>41982000</v>
      </c>
      <c r="V19" s="10">
        <v>21895000</v>
      </c>
      <c r="W19" s="10">
        <v>14043000</v>
      </c>
      <c r="X19" s="10">
        <v>-95933000</v>
      </c>
      <c r="Y19" s="10">
        <v>220899000</v>
      </c>
      <c r="AE19" s="32">
        <f>Y40-Y56-Y61</f>
        <v>-318186000</v>
      </c>
    </row>
    <row r="20" spans="1:31" ht="19" customHeight="1" x14ac:dyDescent="0.25">
      <c r="A20" s="14" t="s">
        <v>101</v>
      </c>
      <c r="B20" s="1"/>
      <c r="C20" s="15" t="e">
        <f>(C19/B19)-1</f>
        <v>#VALUE!</v>
      </c>
      <c r="D20" s="15">
        <f>(D19/C19)-1</f>
        <v>12.646397494802228</v>
      </c>
      <c r="E20" s="15">
        <f>(E19/D19)-1</f>
        <v>-0.36570676196745977</v>
      </c>
      <c r="F20" s="15">
        <f t="shared" ref="F20:W20" si="3">(F19/E19)-1</f>
        <v>10.520846801217003</v>
      </c>
      <c r="G20" s="15">
        <f t="shared" si="3"/>
        <v>3.1014678450885089</v>
      </c>
      <c r="H20" s="15">
        <f t="shared" si="3"/>
        <v>-0.86091022503751757</v>
      </c>
      <c r="I20" s="15">
        <f t="shared" si="3"/>
        <v>-1.6496551509430897</v>
      </c>
      <c r="J20" s="15">
        <f t="shared" si="3"/>
        <v>-9.6979375998149813</v>
      </c>
      <c r="K20" s="15">
        <f t="shared" si="3"/>
        <v>-0.61748334972021335</v>
      </c>
      <c r="L20" s="15">
        <f t="shared" si="3"/>
        <v>-0.59333047840028841</v>
      </c>
      <c r="M20" s="15">
        <f t="shared" si="3"/>
        <v>-0.43564511443070042</v>
      </c>
      <c r="N20" s="15">
        <f t="shared" si="3"/>
        <v>-1.1114213652739489</v>
      </c>
      <c r="O20" s="15">
        <f t="shared" si="3"/>
        <v>-120.23566769793393</v>
      </c>
      <c r="P20" s="15">
        <f t="shared" si="3"/>
        <v>0.13820844327411619</v>
      </c>
      <c r="Q20" s="15">
        <f t="shared" si="3"/>
        <v>9.5726444317464132E-2</v>
      </c>
      <c r="R20" s="15">
        <f t="shared" si="3"/>
        <v>6.1590821759894609E-2</v>
      </c>
      <c r="S20" s="15">
        <f t="shared" si="3"/>
        <v>-0.10023786131651069</v>
      </c>
      <c r="T20" s="15">
        <f t="shared" si="3"/>
        <v>-0.23737823625757881</v>
      </c>
      <c r="U20" s="15">
        <f t="shared" si="3"/>
        <v>0.58183873398643549</v>
      </c>
      <c r="V20" s="15">
        <f t="shared" si="3"/>
        <v>-0.47846696203134675</v>
      </c>
      <c r="W20" s="15">
        <f t="shared" si="3"/>
        <v>-0.35862068965517246</v>
      </c>
      <c r="X20" s="15">
        <f t="shared" ref="X20" si="4">(X19/W19)-1</f>
        <v>-7.8313750623086236</v>
      </c>
      <c r="Y20" s="15">
        <f t="shared" ref="Y20" si="5">(Y19/X19)-1</f>
        <v>-3.3026382996466284</v>
      </c>
    </row>
    <row r="21" spans="1:31" ht="19" x14ac:dyDescent="0.25">
      <c r="A21" s="5" t="s">
        <v>15</v>
      </c>
      <c r="B21" s="2" t="s">
        <v>92</v>
      </c>
      <c r="C21" s="2">
        <v>2.2800000000000001E-2</v>
      </c>
      <c r="D21" s="2">
        <v>0.1552</v>
      </c>
      <c r="E21" s="2">
        <v>6.8500000000000005E-2</v>
      </c>
      <c r="F21" s="2">
        <v>0.31769999999999998</v>
      </c>
      <c r="G21" s="2">
        <v>0.47120000000000001</v>
      </c>
      <c r="H21" s="2">
        <v>9.2899999999999996E-2</v>
      </c>
      <c r="I21" s="2">
        <v>-4.2500000000000003E-2</v>
      </c>
      <c r="J21" s="2">
        <v>0.2487</v>
      </c>
      <c r="K21" s="2">
        <v>0.1032</v>
      </c>
      <c r="L21" s="2">
        <v>3.7400000000000003E-2</v>
      </c>
      <c r="M21" s="2">
        <v>2.53E-2</v>
      </c>
      <c r="N21" s="2">
        <v>-2.7000000000000001E-3</v>
      </c>
      <c r="O21" s="2">
        <v>0.25459999999999999</v>
      </c>
      <c r="P21" s="2">
        <v>0.2412</v>
      </c>
      <c r="Q21" s="2">
        <v>0.22140000000000001</v>
      </c>
      <c r="R21" s="2">
        <v>0.19550000000000001</v>
      </c>
      <c r="S21" s="2">
        <v>0.12970000000000001</v>
      </c>
      <c r="T21" s="2">
        <v>7.7200000000000005E-2</v>
      </c>
      <c r="U21" s="2">
        <v>9.9900000000000003E-2</v>
      </c>
      <c r="V21" s="2">
        <v>4.1200000000000001E-2</v>
      </c>
      <c r="W21" s="2">
        <v>2.06E-2</v>
      </c>
      <c r="X21" s="2">
        <v>-0.1111</v>
      </c>
      <c r="Y21" s="2">
        <v>0.18559999999999999</v>
      </c>
    </row>
    <row r="22" spans="1:31" ht="19" x14ac:dyDescent="0.25">
      <c r="A22" s="6" t="s">
        <v>16</v>
      </c>
      <c r="B22" s="10" t="s">
        <v>92</v>
      </c>
      <c r="C22" s="10">
        <v>-46885</v>
      </c>
      <c r="D22" s="10">
        <v>772256</v>
      </c>
      <c r="E22" s="10">
        <v>361011</v>
      </c>
      <c r="F22" s="10">
        <v>7580699</v>
      </c>
      <c r="G22" s="10">
        <v>30875534</v>
      </c>
      <c r="H22" s="10">
        <v>1550654</v>
      </c>
      <c r="I22" s="10">
        <v>-6856224</v>
      </c>
      <c r="J22" s="10">
        <v>20374002</v>
      </c>
      <c r="K22" s="10">
        <v>5225337</v>
      </c>
      <c r="L22" s="10">
        <v>-79174</v>
      </c>
      <c r="M22" s="10">
        <v>-5139639</v>
      </c>
      <c r="N22" s="10">
        <v>-10915933</v>
      </c>
      <c r="O22" s="10">
        <v>22528520</v>
      </c>
      <c r="P22" s="10">
        <v>27948000</v>
      </c>
      <c r="Q22" s="10">
        <v>32505000</v>
      </c>
      <c r="R22" s="10">
        <v>35335000</v>
      </c>
      <c r="S22" s="10">
        <v>31851000</v>
      </c>
      <c r="T22" s="10">
        <v>13023000</v>
      </c>
      <c r="U22" s="10">
        <v>24841000</v>
      </c>
      <c r="V22" s="10">
        <v>-6394000</v>
      </c>
      <c r="W22" s="10">
        <v>-14150000</v>
      </c>
      <c r="X22" s="10">
        <v>-168123000</v>
      </c>
      <c r="Y22" s="10">
        <v>93253000</v>
      </c>
    </row>
    <row r="23" spans="1:31" ht="19" x14ac:dyDescent="0.25">
      <c r="A23" s="5" t="s">
        <v>17</v>
      </c>
      <c r="B23" s="2" t="s">
        <v>92</v>
      </c>
      <c r="C23" s="2">
        <v>-1.37E-2</v>
      </c>
      <c r="D23" s="2">
        <v>0.11269999999999999</v>
      </c>
      <c r="E23" s="2">
        <v>3.6700000000000003E-2</v>
      </c>
      <c r="F23" s="2">
        <v>0.31</v>
      </c>
      <c r="G23" s="2">
        <v>0.45650000000000002</v>
      </c>
      <c r="H23" s="2">
        <v>3.2500000000000001E-2</v>
      </c>
      <c r="I23" s="2">
        <v>-0.1012</v>
      </c>
      <c r="J23" s="2">
        <v>0.20230000000000001</v>
      </c>
      <c r="K23" s="2">
        <v>5.6300000000000003E-2</v>
      </c>
      <c r="L23" s="2">
        <v>-8.0000000000000004E-4</v>
      </c>
      <c r="M23" s="2">
        <v>-5.91E-2</v>
      </c>
      <c r="N23" s="2">
        <v>-0.12130000000000001</v>
      </c>
      <c r="O23" s="2">
        <v>0.1963</v>
      </c>
      <c r="P23" s="2">
        <v>0.20280000000000001</v>
      </c>
      <c r="Q23" s="2">
        <v>0.1976</v>
      </c>
      <c r="R23" s="2">
        <v>0.17860000000000001</v>
      </c>
      <c r="S23" s="2">
        <v>0.1187</v>
      </c>
      <c r="T23" s="2">
        <v>3.7900000000000003E-2</v>
      </c>
      <c r="U23" s="2">
        <v>5.91E-2</v>
      </c>
      <c r="V23" s="2">
        <v>-1.2E-2</v>
      </c>
      <c r="W23" s="2">
        <v>-2.0799999999999999E-2</v>
      </c>
      <c r="X23" s="2">
        <v>-0.19470000000000001</v>
      </c>
      <c r="Y23" s="2">
        <v>7.8399999999999997E-2</v>
      </c>
    </row>
    <row r="24" spans="1:31" ht="19" x14ac:dyDescent="0.25">
      <c r="A24" s="5" t="s">
        <v>18</v>
      </c>
      <c r="B24" s="1" t="s">
        <v>92</v>
      </c>
      <c r="C24" s="1" t="s">
        <v>92</v>
      </c>
      <c r="D24" s="1">
        <v>-152231</v>
      </c>
      <c r="E24" s="1">
        <v>19735</v>
      </c>
      <c r="F24" s="1">
        <v>-213408</v>
      </c>
      <c r="G24" s="1">
        <v>440274</v>
      </c>
      <c r="H24" s="1">
        <v>1165064</v>
      </c>
      <c r="I24" s="1">
        <v>1872645</v>
      </c>
      <c r="J24" s="1">
        <v>2149238</v>
      </c>
      <c r="K24" s="1">
        <v>1717967</v>
      </c>
      <c r="L24" s="1">
        <v>170547</v>
      </c>
      <c r="M24" s="1">
        <v>25819</v>
      </c>
      <c r="N24" s="1">
        <v>1287192</v>
      </c>
      <c r="O24" s="1">
        <v>82842</v>
      </c>
      <c r="P24" s="1">
        <v>86000</v>
      </c>
      <c r="Q24" s="1">
        <v>-194000</v>
      </c>
      <c r="R24" s="1">
        <v>26000</v>
      </c>
      <c r="S24" s="1">
        <v>-354000</v>
      </c>
      <c r="T24" s="1">
        <v>2738000</v>
      </c>
      <c r="U24" s="1">
        <v>3263000</v>
      </c>
      <c r="V24" s="1">
        <v>8464000</v>
      </c>
      <c r="W24" s="1">
        <v>7859000</v>
      </c>
      <c r="X24" s="1">
        <v>26748000</v>
      </c>
      <c r="Y24" s="1">
        <v>103265000</v>
      </c>
    </row>
    <row r="25" spans="1:31" ht="19" x14ac:dyDescent="0.25">
      <c r="A25" s="6" t="s">
        <v>19</v>
      </c>
      <c r="B25" s="10" t="s">
        <v>92</v>
      </c>
      <c r="C25" s="10" t="s">
        <v>92</v>
      </c>
      <c r="D25" s="10">
        <v>620025</v>
      </c>
      <c r="E25" s="10">
        <v>380746</v>
      </c>
      <c r="F25" s="10">
        <v>7367291</v>
      </c>
      <c r="G25" s="10">
        <v>31315808</v>
      </c>
      <c r="H25" s="10">
        <v>2715718</v>
      </c>
      <c r="I25" s="10">
        <v>-4983579</v>
      </c>
      <c r="J25" s="10">
        <v>22523240</v>
      </c>
      <c r="K25" s="10">
        <v>6943304</v>
      </c>
      <c r="L25" s="10">
        <v>91373</v>
      </c>
      <c r="M25" s="10">
        <v>-5113820</v>
      </c>
      <c r="N25" s="10">
        <v>-9628741</v>
      </c>
      <c r="O25" s="10">
        <v>22611362</v>
      </c>
      <c r="P25" s="10">
        <v>28034000</v>
      </c>
      <c r="Q25" s="10">
        <v>32311000</v>
      </c>
      <c r="R25" s="10">
        <v>35361000</v>
      </c>
      <c r="S25" s="10">
        <v>31497000</v>
      </c>
      <c r="T25" s="10">
        <v>15761000</v>
      </c>
      <c r="U25" s="10">
        <v>28104000</v>
      </c>
      <c r="V25" s="10">
        <v>2070000</v>
      </c>
      <c r="W25" s="10">
        <v>-6291000</v>
      </c>
      <c r="X25" s="10">
        <v>-141375000</v>
      </c>
      <c r="Y25" s="10">
        <v>196518000</v>
      </c>
    </row>
    <row r="26" spans="1:31" ht="19" x14ac:dyDescent="0.25">
      <c r="A26" s="5" t="s">
        <v>20</v>
      </c>
      <c r="B26" s="2" t="s">
        <v>92</v>
      </c>
      <c r="C26" s="2" t="s">
        <v>92</v>
      </c>
      <c r="D26" s="2">
        <v>9.0499999999999997E-2</v>
      </c>
      <c r="E26" s="2">
        <v>3.8699999999999998E-2</v>
      </c>
      <c r="F26" s="2">
        <v>0.30130000000000001</v>
      </c>
      <c r="G26" s="2">
        <v>0.46300000000000002</v>
      </c>
      <c r="H26" s="2">
        <v>5.6899999999999999E-2</v>
      </c>
      <c r="I26" s="2">
        <v>-7.3599999999999999E-2</v>
      </c>
      <c r="J26" s="2">
        <v>0.22359999999999999</v>
      </c>
      <c r="K26" s="2">
        <v>7.4800000000000005E-2</v>
      </c>
      <c r="L26" s="2">
        <v>8.9999999999999998E-4</v>
      </c>
      <c r="M26" s="2">
        <v>-5.8799999999999998E-2</v>
      </c>
      <c r="N26" s="2">
        <v>-0.107</v>
      </c>
      <c r="O26" s="2">
        <v>0.19700000000000001</v>
      </c>
      <c r="P26" s="2">
        <v>0.2034</v>
      </c>
      <c r="Q26" s="2">
        <v>0.19639999999999999</v>
      </c>
      <c r="R26" s="2">
        <v>0.1787</v>
      </c>
      <c r="S26" s="2">
        <v>0.1174</v>
      </c>
      <c r="T26" s="2">
        <v>4.58E-2</v>
      </c>
      <c r="U26" s="2">
        <v>6.6900000000000001E-2</v>
      </c>
      <c r="V26" s="2">
        <v>3.8999999999999998E-3</v>
      </c>
      <c r="W26" s="2">
        <v>-9.1999999999999998E-3</v>
      </c>
      <c r="X26" s="2">
        <v>-0.16370000000000001</v>
      </c>
      <c r="Y26" s="2">
        <v>0.16520000000000001</v>
      </c>
    </row>
    <row r="27" spans="1:31" ht="19" x14ac:dyDescent="0.25">
      <c r="A27" s="5" t="s">
        <v>21</v>
      </c>
      <c r="B27" s="1" t="s">
        <v>92</v>
      </c>
      <c r="C27" s="1" t="s">
        <v>92</v>
      </c>
      <c r="D27" s="1">
        <v>104996</v>
      </c>
      <c r="E27" s="1">
        <v>171843</v>
      </c>
      <c r="F27" s="1">
        <v>2913601</v>
      </c>
      <c r="G27" s="1">
        <v>12191000</v>
      </c>
      <c r="H27" s="1">
        <v>1652861</v>
      </c>
      <c r="I27" s="1">
        <v>-895900</v>
      </c>
      <c r="J27" s="1">
        <v>7499764</v>
      </c>
      <c r="K27" s="1">
        <v>3306263</v>
      </c>
      <c r="L27" s="1">
        <v>92479</v>
      </c>
      <c r="M27" s="1">
        <v>-729385</v>
      </c>
      <c r="N27" s="1">
        <v>-2588875</v>
      </c>
      <c r="O27" s="1">
        <v>7873620</v>
      </c>
      <c r="P27" s="1">
        <v>9790000</v>
      </c>
      <c r="Q27" s="1">
        <v>12393000</v>
      </c>
      <c r="R27" s="1">
        <v>15428000</v>
      </c>
      <c r="S27" s="1">
        <v>14200000</v>
      </c>
      <c r="T27" s="1">
        <v>10554000</v>
      </c>
      <c r="U27" s="1">
        <v>-1101000</v>
      </c>
      <c r="V27" s="1">
        <v>1188000</v>
      </c>
      <c r="W27" s="1">
        <v>-4567000</v>
      </c>
      <c r="X27" s="1">
        <v>-81357000</v>
      </c>
      <c r="Y27" s="1">
        <v>49379000</v>
      </c>
    </row>
    <row r="28" spans="1:31" ht="20" thickBot="1" x14ac:dyDescent="0.3">
      <c r="A28" s="7" t="s">
        <v>22</v>
      </c>
      <c r="B28" s="11" t="s">
        <v>92</v>
      </c>
      <c r="C28" s="11">
        <v>-473247</v>
      </c>
      <c r="D28" s="11">
        <v>515029</v>
      </c>
      <c r="E28" s="11">
        <v>208903</v>
      </c>
      <c r="F28" s="11">
        <v>4453690</v>
      </c>
      <c r="G28" s="11">
        <v>19124808</v>
      </c>
      <c r="H28" s="11">
        <v>1062857</v>
      </c>
      <c r="I28" s="11">
        <v>-4087679</v>
      </c>
      <c r="J28" s="11">
        <v>15026476</v>
      </c>
      <c r="K28" s="11">
        <v>3637041</v>
      </c>
      <c r="L28" s="11">
        <v>-1106</v>
      </c>
      <c r="M28" s="11">
        <v>-4384435</v>
      </c>
      <c r="N28" s="11">
        <v>-7039866</v>
      </c>
      <c r="O28" s="11">
        <v>14737742</v>
      </c>
      <c r="P28" s="11">
        <v>18244000</v>
      </c>
      <c r="Q28" s="11">
        <v>19918000</v>
      </c>
      <c r="R28" s="11">
        <v>19933000</v>
      </c>
      <c r="S28" s="11">
        <v>17297000</v>
      </c>
      <c r="T28" s="11">
        <v>5207000</v>
      </c>
      <c r="U28" s="11">
        <v>29205000</v>
      </c>
      <c r="V28" s="11">
        <v>882000</v>
      </c>
      <c r="W28" s="11">
        <v>-1724000</v>
      </c>
      <c r="X28" s="11">
        <v>-60018000</v>
      </c>
      <c r="Y28" s="11">
        <v>147139000</v>
      </c>
    </row>
    <row r="29" spans="1:31" ht="20" customHeight="1" thickTop="1" x14ac:dyDescent="0.25">
      <c r="A29" s="14" t="s">
        <v>102</v>
      </c>
      <c r="B29" s="1"/>
      <c r="C29" s="15" t="e">
        <f>(C28/B28)-1</f>
        <v>#VALUE!</v>
      </c>
      <c r="D29" s="15">
        <f>(D28/C28)-1</f>
        <v>-2.0882879342077181</v>
      </c>
      <c r="E29" s="15">
        <f>(E28/D28)-1</f>
        <v>-0.59438594719908977</v>
      </c>
      <c r="F29" s="15">
        <f t="shared" ref="F29:W29" si="6">(F28/E28)-1</f>
        <v>20.319416188374507</v>
      </c>
      <c r="G29" s="15">
        <f t="shared" si="6"/>
        <v>3.2941488967575205</v>
      </c>
      <c r="H29" s="15">
        <f t="shared" si="6"/>
        <v>-0.94442521985057315</v>
      </c>
      <c r="I29" s="15">
        <f t="shared" si="6"/>
        <v>-4.8459350599375082</v>
      </c>
      <c r="J29" s="15">
        <f t="shared" si="6"/>
        <v>-4.6760410981390663</v>
      </c>
      <c r="K29" s="15">
        <f t="shared" si="6"/>
        <v>-0.75795782058281658</v>
      </c>
      <c r="L29" s="15">
        <f t="shared" si="6"/>
        <v>-1.0003040933550102</v>
      </c>
      <c r="M29" s="15">
        <f t="shared" si="6"/>
        <v>3963.2269439421339</v>
      </c>
      <c r="N29" s="15">
        <f t="shared" si="6"/>
        <v>0.60564953066928817</v>
      </c>
      <c r="O29" s="15">
        <f t="shared" si="6"/>
        <v>-3.0934691086449657</v>
      </c>
      <c r="P29" s="15">
        <f t="shared" si="6"/>
        <v>0.23791012218832441</v>
      </c>
      <c r="Q29" s="15">
        <f t="shared" si="6"/>
        <v>9.1756193817145393E-2</v>
      </c>
      <c r="R29" s="15">
        <f t="shared" si="6"/>
        <v>7.5308765940351741E-4</v>
      </c>
      <c r="S29" s="15">
        <f t="shared" si="6"/>
        <v>-0.13224301409722572</v>
      </c>
      <c r="T29" s="15">
        <f t="shared" si="6"/>
        <v>-0.69896513846331731</v>
      </c>
      <c r="U29" s="15">
        <f t="shared" si="6"/>
        <v>4.6087958517380452</v>
      </c>
      <c r="V29" s="15">
        <f t="shared" si="6"/>
        <v>-0.96979969183359016</v>
      </c>
      <c r="W29" s="15">
        <f t="shared" si="6"/>
        <v>-2.9546485260770976</v>
      </c>
      <c r="X29" s="15">
        <f t="shared" ref="X29" si="7">(X28/W28)-1</f>
        <v>33.81322505800464</v>
      </c>
      <c r="Y29" s="15">
        <f t="shared" ref="Y29" si="8">(Y28/X28)-1</f>
        <v>-3.4515811923089741</v>
      </c>
    </row>
    <row r="30" spans="1:31" ht="19" x14ac:dyDescent="0.25">
      <c r="A30" s="5" t="s">
        <v>23</v>
      </c>
      <c r="B30" s="2" t="s">
        <v>92</v>
      </c>
      <c r="C30" s="2">
        <v>-0.13869999999999999</v>
      </c>
      <c r="D30" s="2">
        <v>7.5200000000000003E-2</v>
      </c>
      <c r="E30" s="2">
        <v>2.12E-2</v>
      </c>
      <c r="F30" s="2">
        <v>0.18210000000000001</v>
      </c>
      <c r="G30" s="2">
        <v>0.28270000000000001</v>
      </c>
      <c r="H30" s="2">
        <v>2.23E-2</v>
      </c>
      <c r="I30" s="2">
        <v>-6.0400000000000002E-2</v>
      </c>
      <c r="J30" s="2">
        <v>0.1492</v>
      </c>
      <c r="K30" s="2">
        <v>3.9199999999999999E-2</v>
      </c>
      <c r="L30" s="2" t="s">
        <v>91</v>
      </c>
      <c r="M30" s="2">
        <v>-5.04E-2</v>
      </c>
      <c r="N30" s="2">
        <v>-7.8200000000000006E-2</v>
      </c>
      <c r="O30" s="2">
        <v>0.12839999999999999</v>
      </c>
      <c r="P30" s="2">
        <v>0.13239999999999999</v>
      </c>
      <c r="Q30" s="2">
        <v>0.1211</v>
      </c>
      <c r="R30" s="2">
        <v>0.1007</v>
      </c>
      <c r="S30" s="2">
        <v>6.4500000000000002E-2</v>
      </c>
      <c r="T30" s="2">
        <v>1.5100000000000001E-2</v>
      </c>
      <c r="U30" s="2">
        <v>6.9500000000000006E-2</v>
      </c>
      <c r="V30" s="2">
        <v>1.6999999999999999E-3</v>
      </c>
      <c r="W30" s="2">
        <v>-2.5000000000000001E-3</v>
      </c>
      <c r="X30" s="2">
        <v>-6.9500000000000006E-2</v>
      </c>
      <c r="Y30" s="2">
        <v>0.1237</v>
      </c>
    </row>
    <row r="31" spans="1:31" ht="19" x14ac:dyDescent="0.25">
      <c r="A31" s="5" t="s">
        <v>24</v>
      </c>
      <c r="B31" s="12" t="s">
        <v>92</v>
      </c>
      <c r="C31" s="12">
        <v>-0.02</v>
      </c>
      <c r="D31" s="12">
        <v>0.02</v>
      </c>
      <c r="E31" s="12">
        <v>0.01</v>
      </c>
      <c r="F31" s="12">
        <v>0.12</v>
      </c>
      <c r="G31" s="12">
        <v>0.33</v>
      </c>
      <c r="H31" s="12">
        <v>0.02</v>
      </c>
      <c r="I31" s="12">
        <v>-7.0000000000000007E-2</v>
      </c>
      <c r="J31" s="12">
        <v>0.24</v>
      </c>
      <c r="K31" s="12">
        <v>0.06</v>
      </c>
      <c r="L31" s="12" t="s">
        <v>91</v>
      </c>
      <c r="M31" s="12">
        <v>-7.0000000000000007E-2</v>
      </c>
      <c r="N31" s="12">
        <v>-0.12</v>
      </c>
      <c r="O31" s="12">
        <v>0.27</v>
      </c>
      <c r="P31" s="12">
        <v>0.38</v>
      </c>
      <c r="Q31" s="12">
        <v>0.38</v>
      </c>
      <c r="R31" s="12">
        <v>0.37</v>
      </c>
      <c r="S31" s="12">
        <v>0.33</v>
      </c>
      <c r="T31" s="12">
        <v>0.1</v>
      </c>
      <c r="U31" s="12">
        <v>0.52</v>
      </c>
      <c r="V31" s="12">
        <v>0.01</v>
      </c>
      <c r="W31" s="12">
        <v>-0.03</v>
      </c>
      <c r="X31" s="12">
        <v>-0.91</v>
      </c>
      <c r="Y31" s="12">
        <v>2.0699999999999998</v>
      </c>
    </row>
    <row r="32" spans="1:31" ht="19" x14ac:dyDescent="0.25">
      <c r="A32" s="5" t="s">
        <v>25</v>
      </c>
      <c r="B32" s="12" t="s">
        <v>92</v>
      </c>
      <c r="C32" s="12">
        <v>-0.02</v>
      </c>
      <c r="D32" s="12">
        <v>0.01</v>
      </c>
      <c r="E32" s="12">
        <v>0.01</v>
      </c>
      <c r="F32" s="12">
        <v>0.1</v>
      </c>
      <c r="G32" s="12">
        <v>0.31</v>
      </c>
      <c r="H32" s="12">
        <v>0.02</v>
      </c>
      <c r="I32" s="12">
        <v>-7.0000000000000007E-2</v>
      </c>
      <c r="J32" s="12">
        <v>0.23</v>
      </c>
      <c r="K32" s="12">
        <v>0.06</v>
      </c>
      <c r="L32" s="12" t="s">
        <v>91</v>
      </c>
      <c r="M32" s="12">
        <v>-7.0000000000000007E-2</v>
      </c>
      <c r="N32" s="12">
        <v>-0.12</v>
      </c>
      <c r="O32" s="12">
        <v>0.27</v>
      </c>
      <c r="P32" s="12">
        <v>0.37</v>
      </c>
      <c r="Q32" s="12">
        <v>0.37</v>
      </c>
      <c r="R32" s="12">
        <v>0.36</v>
      </c>
      <c r="S32" s="12">
        <v>0.32</v>
      </c>
      <c r="T32" s="12">
        <v>0.1</v>
      </c>
      <c r="U32" s="12">
        <v>0.5</v>
      </c>
      <c r="V32" s="12">
        <v>0.01</v>
      </c>
      <c r="W32" s="12">
        <v>-0.03</v>
      </c>
      <c r="X32" s="12">
        <v>-0.91</v>
      </c>
      <c r="Y32" s="12">
        <v>2.0299999999999998</v>
      </c>
    </row>
    <row r="33" spans="1:25" ht="19" x14ac:dyDescent="0.25">
      <c r="A33" s="5" t="s">
        <v>26</v>
      </c>
      <c r="B33" s="1" t="s">
        <v>92</v>
      </c>
      <c r="C33" s="1">
        <v>29825536</v>
      </c>
      <c r="D33" s="1">
        <v>27640632</v>
      </c>
      <c r="E33" s="1">
        <v>33561204</v>
      </c>
      <c r="F33" s="1">
        <v>37889640</v>
      </c>
      <c r="G33" s="1">
        <v>57232329</v>
      </c>
      <c r="H33" s="1">
        <v>61303939</v>
      </c>
      <c r="I33" s="1">
        <v>61984240</v>
      </c>
      <c r="J33" s="1">
        <v>62621174</v>
      </c>
      <c r="K33" s="1">
        <v>62371004</v>
      </c>
      <c r="L33" s="1">
        <v>61920094</v>
      </c>
      <c r="M33" s="1">
        <v>62524446</v>
      </c>
      <c r="N33" s="1">
        <v>59435624</v>
      </c>
      <c r="O33" s="1">
        <v>53827204</v>
      </c>
      <c r="P33" s="1">
        <v>51880000</v>
      </c>
      <c r="Q33" s="1">
        <v>52948000</v>
      </c>
      <c r="R33" s="1">
        <v>53548000</v>
      </c>
      <c r="S33" s="1">
        <v>52667000</v>
      </c>
      <c r="T33" s="1">
        <v>52726000</v>
      </c>
      <c r="U33" s="1">
        <v>56392000</v>
      </c>
      <c r="V33" s="1">
        <v>59190000</v>
      </c>
      <c r="W33" s="1">
        <v>61782000</v>
      </c>
      <c r="X33" s="1">
        <v>66191000</v>
      </c>
      <c r="Y33" s="1">
        <v>71093000</v>
      </c>
    </row>
    <row r="34" spans="1:25" ht="19" x14ac:dyDescent="0.25">
      <c r="A34" s="5" t="s">
        <v>27</v>
      </c>
      <c r="B34" s="1" t="s">
        <v>92</v>
      </c>
      <c r="C34" s="1">
        <v>29825536</v>
      </c>
      <c r="D34" s="1">
        <v>36351960</v>
      </c>
      <c r="E34" s="1">
        <v>34915404</v>
      </c>
      <c r="F34" s="1">
        <v>46598312</v>
      </c>
      <c r="G34" s="1">
        <v>62319590</v>
      </c>
      <c r="H34" s="1">
        <v>63556246</v>
      </c>
      <c r="I34" s="1">
        <v>61984240</v>
      </c>
      <c r="J34" s="1">
        <v>65685667</v>
      </c>
      <c r="K34" s="1">
        <v>64070869</v>
      </c>
      <c r="L34" s="1">
        <v>63272168</v>
      </c>
      <c r="M34" s="1">
        <v>62524446</v>
      </c>
      <c r="N34" s="1">
        <v>59435624</v>
      </c>
      <c r="O34" s="1">
        <v>54722785</v>
      </c>
      <c r="P34" s="1">
        <v>54152000</v>
      </c>
      <c r="Q34" s="1">
        <v>54500000</v>
      </c>
      <c r="R34" s="1">
        <v>54638000</v>
      </c>
      <c r="S34" s="1">
        <v>53536000</v>
      </c>
      <c r="T34" s="1">
        <v>53898000</v>
      </c>
      <c r="U34" s="1">
        <v>57922000</v>
      </c>
      <c r="V34" s="1">
        <v>60018000</v>
      </c>
      <c r="W34" s="1">
        <v>61782000</v>
      </c>
      <c r="X34" s="1">
        <v>66191000</v>
      </c>
      <c r="Y34" s="1">
        <v>72534000</v>
      </c>
    </row>
    <row r="35" spans="1:25" ht="20" customHeight="1" x14ac:dyDescent="0.25">
      <c r="A35" s="14" t="s">
        <v>103</v>
      </c>
      <c r="B35" s="1"/>
      <c r="C35" s="22" t="e">
        <f>(C34-B34)/B34</f>
        <v>#VALUE!</v>
      </c>
      <c r="D35" s="22">
        <f t="shared" ref="D35:W35" si="9">(D34-C34)/C34</f>
        <v>0.2188200071240966</v>
      </c>
      <c r="E35" s="22">
        <f t="shared" si="9"/>
        <v>-3.9517979223128545E-2</v>
      </c>
      <c r="F35" s="22">
        <f t="shared" si="9"/>
        <v>0.33460612399043127</v>
      </c>
      <c r="G35" s="22">
        <f t="shared" si="9"/>
        <v>0.33737870161477096</v>
      </c>
      <c r="H35" s="22">
        <f t="shared" si="9"/>
        <v>1.9843776250774436E-2</v>
      </c>
      <c r="I35" s="22">
        <f t="shared" si="9"/>
        <v>-2.4734091437684975E-2</v>
      </c>
      <c r="J35" s="22">
        <f t="shared" si="9"/>
        <v>5.97156148078931E-2</v>
      </c>
      <c r="K35" s="22">
        <f t="shared" si="9"/>
        <v>-2.4583719306679189E-2</v>
      </c>
      <c r="L35" s="22">
        <f t="shared" si="9"/>
        <v>-1.2465899284119277E-2</v>
      </c>
      <c r="M35" s="22">
        <f t="shared" si="9"/>
        <v>-1.1817549858572888E-2</v>
      </c>
      <c r="N35" s="22">
        <f t="shared" si="9"/>
        <v>-4.9401829166147271E-2</v>
      </c>
      <c r="O35" s="22">
        <f t="shared" si="9"/>
        <v>-7.9293169362535845E-2</v>
      </c>
      <c r="P35" s="22">
        <f t="shared" si="9"/>
        <v>-1.0430481562661695E-2</v>
      </c>
      <c r="Q35" s="22">
        <f t="shared" si="9"/>
        <v>6.4263554439355887E-3</v>
      </c>
      <c r="R35" s="22">
        <f t="shared" si="9"/>
        <v>2.5321100917431194E-3</v>
      </c>
      <c r="S35" s="22">
        <f t="shared" si="9"/>
        <v>-2.0169113071488706E-2</v>
      </c>
      <c r="T35" s="22">
        <f t="shared" si="9"/>
        <v>6.7618051404662281E-3</v>
      </c>
      <c r="U35" s="22">
        <f t="shared" si="9"/>
        <v>7.4659542098037032E-2</v>
      </c>
      <c r="V35" s="22">
        <f t="shared" si="9"/>
        <v>3.6186595766720765E-2</v>
      </c>
      <c r="W35" s="22">
        <f t="shared" si="9"/>
        <v>2.9391182645206439E-2</v>
      </c>
      <c r="X35" s="22">
        <f t="shared" ref="X35" si="10">(X34-W34)/W34</f>
        <v>7.1363827652066947E-2</v>
      </c>
      <c r="Y35" s="22">
        <f t="shared" ref="Y35" si="11">(Y34-X34)/X34</f>
        <v>9.5828738045957915E-2</v>
      </c>
    </row>
    <row r="36" spans="1:25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</row>
    <row r="37" spans="1:25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</row>
    <row r="38" spans="1:25" ht="19" x14ac:dyDescent="0.25">
      <c r="A38" s="5" t="s">
        <v>30</v>
      </c>
      <c r="B38" s="1" t="s">
        <v>92</v>
      </c>
      <c r="C38" s="1">
        <v>5636100</v>
      </c>
      <c r="D38" s="1">
        <v>3576937</v>
      </c>
      <c r="E38" s="1">
        <v>15878326</v>
      </c>
      <c r="F38" s="1">
        <v>14757159</v>
      </c>
      <c r="G38" s="1">
        <v>16351909</v>
      </c>
      <c r="H38" s="1">
        <v>18773685</v>
      </c>
      <c r="I38" s="1">
        <v>48800287</v>
      </c>
      <c r="J38" s="1">
        <v>46880435</v>
      </c>
      <c r="K38" s="1">
        <v>45505049</v>
      </c>
      <c r="L38" s="1">
        <v>42684241</v>
      </c>
      <c r="M38" s="1">
        <v>21300733</v>
      </c>
      <c r="N38" s="1">
        <v>36126791</v>
      </c>
      <c r="O38" s="1">
        <v>42271000</v>
      </c>
      <c r="P38" s="1">
        <v>48367000</v>
      </c>
      <c r="Q38" s="1">
        <v>59526000</v>
      </c>
      <c r="R38" s="1">
        <v>40651000</v>
      </c>
      <c r="S38" s="1">
        <v>75105000</v>
      </c>
      <c r="T38" s="1">
        <v>349462000</v>
      </c>
      <c r="U38" s="1">
        <v>172250000</v>
      </c>
      <c r="V38" s="1">
        <v>155440000</v>
      </c>
      <c r="W38" s="1">
        <v>356332000</v>
      </c>
      <c r="X38" s="1">
        <v>147711000</v>
      </c>
      <c r="Y38" s="1">
        <v>353684000</v>
      </c>
    </row>
    <row r="39" spans="1:25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 t="s">
        <v>92</v>
      </c>
      <c r="F39" s="1">
        <v>17201477</v>
      </c>
      <c r="G39" s="1" t="s">
        <v>92</v>
      </c>
      <c r="H39" s="1">
        <v>3557289</v>
      </c>
      <c r="I39" s="1">
        <v>2501152</v>
      </c>
      <c r="J39" s="1">
        <v>2498998</v>
      </c>
      <c r="K39" s="1" t="s">
        <v>92</v>
      </c>
      <c r="L39" s="1" t="s">
        <v>92</v>
      </c>
      <c r="M39" s="1">
        <v>5108189</v>
      </c>
      <c r="N39" s="1">
        <v>1680958</v>
      </c>
      <c r="O39" s="1">
        <v>9101000</v>
      </c>
      <c r="P39" s="1">
        <v>32774000</v>
      </c>
      <c r="Q39" s="1">
        <v>50254000</v>
      </c>
      <c r="R39" s="1">
        <v>48415000</v>
      </c>
      <c r="S39" s="1">
        <v>6862000</v>
      </c>
      <c r="T39" s="1" t="s">
        <v>92</v>
      </c>
      <c r="U39" s="1">
        <v>178534000</v>
      </c>
      <c r="V39" s="1">
        <v>406525000</v>
      </c>
      <c r="W39" s="1">
        <v>86690000</v>
      </c>
      <c r="X39" s="1">
        <v>35280000</v>
      </c>
      <c r="Y39" s="1">
        <v>39240000</v>
      </c>
    </row>
    <row r="40" spans="1:25" ht="19" x14ac:dyDescent="0.25">
      <c r="A40" s="5" t="s">
        <v>32</v>
      </c>
      <c r="B40" s="1" t="s">
        <v>92</v>
      </c>
      <c r="C40" s="1">
        <v>5636100</v>
      </c>
      <c r="D40" s="1">
        <v>3576937</v>
      </c>
      <c r="E40" s="1">
        <v>15878326</v>
      </c>
      <c r="F40" s="1">
        <v>31958636</v>
      </c>
      <c r="G40" s="1">
        <v>16351909</v>
      </c>
      <c r="H40" s="1">
        <v>22330974</v>
      </c>
      <c r="I40" s="1">
        <v>51301439</v>
      </c>
      <c r="J40" s="1">
        <v>49379433</v>
      </c>
      <c r="K40" s="1">
        <v>45505049</v>
      </c>
      <c r="L40" s="1">
        <v>42684241</v>
      </c>
      <c r="M40" s="1">
        <v>26408922</v>
      </c>
      <c r="N40" s="1">
        <v>37807749</v>
      </c>
      <c r="O40" s="1">
        <v>51372000</v>
      </c>
      <c r="P40" s="1">
        <v>81141000</v>
      </c>
      <c r="Q40" s="1">
        <v>109780000</v>
      </c>
      <c r="R40" s="1">
        <v>89066000</v>
      </c>
      <c r="S40" s="1">
        <v>81967000</v>
      </c>
      <c r="T40" s="1">
        <v>349462000</v>
      </c>
      <c r="U40" s="1">
        <v>350784000</v>
      </c>
      <c r="V40" s="1">
        <v>561965000</v>
      </c>
      <c r="W40" s="1">
        <v>443022000</v>
      </c>
      <c r="X40" s="1">
        <v>182991000</v>
      </c>
      <c r="Y40" s="1">
        <v>392924000</v>
      </c>
    </row>
    <row r="41" spans="1:25" ht="19" x14ac:dyDescent="0.25">
      <c r="A41" s="5" t="s">
        <v>33</v>
      </c>
      <c r="B41" s="1" t="s">
        <v>92</v>
      </c>
      <c r="C41" s="1">
        <v>765328</v>
      </c>
      <c r="D41" s="1">
        <v>888142</v>
      </c>
      <c r="E41" s="1">
        <v>5404333</v>
      </c>
      <c r="F41" s="1">
        <v>8460112</v>
      </c>
      <c r="G41" s="1">
        <v>6041481</v>
      </c>
      <c r="H41" s="1">
        <v>10068049</v>
      </c>
      <c r="I41" s="1">
        <v>11691553</v>
      </c>
      <c r="J41" s="1">
        <v>16793553</v>
      </c>
      <c r="K41" s="1">
        <v>15384993</v>
      </c>
      <c r="L41" s="1">
        <v>13542535</v>
      </c>
      <c r="M41" s="1">
        <v>11780135</v>
      </c>
      <c r="N41" s="1">
        <v>18101240</v>
      </c>
      <c r="O41" s="1">
        <v>22488000</v>
      </c>
      <c r="P41" s="1">
        <v>30735000</v>
      </c>
      <c r="Q41" s="1">
        <v>27701000</v>
      </c>
      <c r="R41" s="1">
        <v>39466000</v>
      </c>
      <c r="S41" s="1">
        <v>56064000</v>
      </c>
      <c r="T41" s="1">
        <v>144539000</v>
      </c>
      <c r="U41" s="1">
        <v>194596000</v>
      </c>
      <c r="V41" s="1">
        <v>293146000</v>
      </c>
      <c r="W41" s="1">
        <v>501240000</v>
      </c>
      <c r="X41" s="1">
        <v>418308000</v>
      </c>
      <c r="Y41" s="1">
        <v>358190000</v>
      </c>
    </row>
    <row r="42" spans="1:25" ht="19" x14ac:dyDescent="0.25">
      <c r="A42" s="5" t="s">
        <v>34</v>
      </c>
      <c r="B42" s="1" t="s">
        <v>92</v>
      </c>
      <c r="C42" s="1">
        <v>801926</v>
      </c>
      <c r="D42" s="1">
        <v>2334809</v>
      </c>
      <c r="E42" s="1">
        <v>3125974</v>
      </c>
      <c r="F42" s="1">
        <v>6840051</v>
      </c>
      <c r="G42" s="1">
        <v>10283390</v>
      </c>
      <c r="H42" s="1">
        <v>9257746</v>
      </c>
      <c r="I42" s="1">
        <v>13506804</v>
      </c>
      <c r="J42" s="1">
        <v>13467117</v>
      </c>
      <c r="K42" s="1">
        <v>15085750</v>
      </c>
      <c r="L42" s="1">
        <v>17815405</v>
      </c>
      <c r="M42" s="1">
        <v>11484761</v>
      </c>
      <c r="N42" s="1">
        <v>10993209</v>
      </c>
      <c r="O42" s="1">
        <v>11109000</v>
      </c>
      <c r="P42" s="1">
        <v>18323000</v>
      </c>
      <c r="Q42" s="1">
        <v>15763000</v>
      </c>
      <c r="R42" s="1">
        <v>34841000</v>
      </c>
      <c r="S42" s="1">
        <v>45465000</v>
      </c>
      <c r="T42" s="1">
        <v>33763000</v>
      </c>
      <c r="U42" s="1">
        <v>38845000</v>
      </c>
      <c r="V42" s="1">
        <v>89958000</v>
      </c>
      <c r="W42" s="1">
        <v>108688000</v>
      </c>
      <c r="X42" s="1">
        <v>173046000</v>
      </c>
      <c r="Y42" s="1">
        <v>202471000</v>
      </c>
    </row>
    <row r="43" spans="1:25" ht="19" x14ac:dyDescent="0.25">
      <c r="A43" s="5" t="s">
        <v>35</v>
      </c>
      <c r="B43" s="1" t="s">
        <v>92</v>
      </c>
      <c r="C43" s="1">
        <v>218486</v>
      </c>
      <c r="D43" s="1">
        <v>341380</v>
      </c>
      <c r="E43" s="1">
        <v>1966332</v>
      </c>
      <c r="F43" s="1">
        <v>12776129</v>
      </c>
      <c r="G43" s="1">
        <v>9751076</v>
      </c>
      <c r="H43" s="1">
        <v>14459495</v>
      </c>
      <c r="I43" s="1">
        <v>19926986</v>
      </c>
      <c r="J43" s="1">
        <v>11958612</v>
      </c>
      <c r="K43" s="1">
        <v>9909454</v>
      </c>
      <c r="L43" s="1">
        <v>8284014</v>
      </c>
      <c r="M43" s="1">
        <v>12058605</v>
      </c>
      <c r="N43" s="1">
        <v>12150318</v>
      </c>
      <c r="O43" s="1">
        <v>12498000</v>
      </c>
      <c r="P43" s="1">
        <v>9629000</v>
      </c>
      <c r="Q43" s="1">
        <v>8165000</v>
      </c>
      <c r="R43" s="1">
        <v>13858000</v>
      </c>
      <c r="S43" s="1">
        <v>21696000</v>
      </c>
      <c r="T43" s="1">
        <v>30391000</v>
      </c>
      <c r="U43" s="1">
        <v>34866000</v>
      </c>
      <c r="V43" s="1">
        <v>36883000</v>
      </c>
      <c r="W43" s="1">
        <v>56540000</v>
      </c>
      <c r="X43" s="1">
        <v>431354000</v>
      </c>
      <c r="Y43" s="1">
        <v>851693000</v>
      </c>
    </row>
    <row r="44" spans="1:25" ht="19" x14ac:dyDescent="0.25">
      <c r="A44" s="6" t="s">
        <v>36</v>
      </c>
      <c r="B44" s="10" t="s">
        <v>92</v>
      </c>
      <c r="C44" s="10">
        <v>7421840</v>
      </c>
      <c r="D44" s="10">
        <v>7141268</v>
      </c>
      <c r="E44" s="10">
        <v>26374965</v>
      </c>
      <c r="F44" s="10">
        <v>60034928</v>
      </c>
      <c r="G44" s="10">
        <v>42427856</v>
      </c>
      <c r="H44" s="10">
        <v>56116264</v>
      </c>
      <c r="I44" s="10">
        <v>96426782</v>
      </c>
      <c r="J44" s="10">
        <v>91598715</v>
      </c>
      <c r="K44" s="10">
        <v>85885246</v>
      </c>
      <c r="L44" s="10">
        <v>82326195</v>
      </c>
      <c r="M44" s="10">
        <v>61732423</v>
      </c>
      <c r="N44" s="10">
        <v>79052516</v>
      </c>
      <c r="O44" s="10">
        <v>97467000</v>
      </c>
      <c r="P44" s="10">
        <v>139828000</v>
      </c>
      <c r="Q44" s="10">
        <v>161409000</v>
      </c>
      <c r="R44" s="10">
        <v>177231000</v>
      </c>
      <c r="S44" s="10">
        <v>205192000</v>
      </c>
      <c r="T44" s="10">
        <v>558155000</v>
      </c>
      <c r="U44" s="10">
        <v>619091000</v>
      </c>
      <c r="V44" s="10">
        <v>981952000</v>
      </c>
      <c r="W44" s="10">
        <v>1109490000</v>
      </c>
      <c r="X44" s="10">
        <v>1205699000</v>
      </c>
      <c r="Y44" s="10">
        <v>1805278000</v>
      </c>
    </row>
    <row r="45" spans="1:25" ht="19" x14ac:dyDescent="0.25">
      <c r="A45" s="5" t="s">
        <v>37</v>
      </c>
      <c r="B45" s="1" t="s">
        <v>92</v>
      </c>
      <c r="C45" s="1">
        <v>560423</v>
      </c>
      <c r="D45" s="1">
        <v>661374</v>
      </c>
      <c r="E45" s="1">
        <v>3946881</v>
      </c>
      <c r="F45" s="1">
        <v>14756512</v>
      </c>
      <c r="G45" s="1">
        <v>21061754</v>
      </c>
      <c r="H45" s="1">
        <v>20842632</v>
      </c>
      <c r="I45" s="1">
        <v>23599680</v>
      </c>
      <c r="J45" s="1">
        <v>27128032</v>
      </c>
      <c r="K45" s="1">
        <v>38673065</v>
      </c>
      <c r="L45" s="1">
        <v>35905765</v>
      </c>
      <c r="M45" s="1">
        <v>26845220</v>
      </c>
      <c r="N45" s="1">
        <v>21952201</v>
      </c>
      <c r="O45" s="1">
        <v>19043000</v>
      </c>
      <c r="P45" s="1">
        <v>17523000</v>
      </c>
      <c r="Q45" s="1">
        <v>21848000</v>
      </c>
      <c r="R45" s="1">
        <v>24004000</v>
      </c>
      <c r="S45" s="1">
        <v>31172000</v>
      </c>
      <c r="T45" s="1">
        <v>37893000</v>
      </c>
      <c r="U45" s="1">
        <v>53423000</v>
      </c>
      <c r="V45" s="1">
        <v>127802000</v>
      </c>
      <c r="W45" s="1">
        <v>161727000</v>
      </c>
      <c r="X45" s="1">
        <v>164160000</v>
      </c>
      <c r="Y45" s="1">
        <v>169843000</v>
      </c>
    </row>
    <row r="46" spans="1:25" ht="19" x14ac:dyDescent="0.25">
      <c r="A46" s="5" t="s">
        <v>38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>
        <v>2235000</v>
      </c>
      <c r="P46" s="1">
        <v>2206000</v>
      </c>
      <c r="Q46" s="1">
        <v>9596000</v>
      </c>
      <c r="R46" s="1">
        <v>10442000</v>
      </c>
      <c r="S46" s="1">
        <v>14927000</v>
      </c>
      <c r="T46" s="1">
        <v>24981000</v>
      </c>
      <c r="U46" s="1">
        <v>25013000</v>
      </c>
      <c r="V46" s="1">
        <v>25205000</v>
      </c>
      <c r="W46" s="1">
        <v>43592000</v>
      </c>
      <c r="X46" s="1">
        <v>44819000</v>
      </c>
      <c r="Y46" s="1">
        <v>44983000</v>
      </c>
    </row>
    <row r="47" spans="1:25" ht="19" x14ac:dyDescent="0.25">
      <c r="A47" s="5" t="s">
        <v>39</v>
      </c>
      <c r="B47" s="1" t="s">
        <v>92</v>
      </c>
      <c r="C47" s="1" t="s">
        <v>92</v>
      </c>
      <c r="D47" s="1">
        <v>101571</v>
      </c>
      <c r="E47" s="1">
        <v>1122844</v>
      </c>
      <c r="F47" s="1">
        <v>1279116</v>
      </c>
      <c r="G47" s="1">
        <v>1340783</v>
      </c>
      <c r="H47" s="1">
        <v>1532500</v>
      </c>
      <c r="I47" s="1">
        <v>1925139</v>
      </c>
      <c r="J47" s="1">
        <v>2447011</v>
      </c>
      <c r="K47" s="1">
        <v>2765701</v>
      </c>
      <c r="L47" s="1">
        <v>3090876</v>
      </c>
      <c r="M47" s="1">
        <v>3224006</v>
      </c>
      <c r="N47" s="1">
        <v>3317169</v>
      </c>
      <c r="O47" s="1">
        <v>3316000</v>
      </c>
      <c r="P47" s="1">
        <v>3115000</v>
      </c>
      <c r="Q47" s="1">
        <v>7588000</v>
      </c>
      <c r="R47" s="1">
        <v>15218000</v>
      </c>
      <c r="S47" s="1">
        <v>18823000</v>
      </c>
      <c r="T47" s="1">
        <v>15935000</v>
      </c>
      <c r="U47" s="1">
        <v>12771000</v>
      </c>
      <c r="V47" s="1">
        <v>9448000</v>
      </c>
      <c r="W47" s="1">
        <v>15470000</v>
      </c>
      <c r="X47" s="1">
        <v>13039000</v>
      </c>
      <c r="Y47" s="1">
        <v>12158000</v>
      </c>
    </row>
    <row r="48" spans="1:25" ht="19" x14ac:dyDescent="0.25">
      <c r="A48" s="5" t="s">
        <v>40</v>
      </c>
      <c r="B48" s="1" t="s">
        <v>92</v>
      </c>
      <c r="C48" s="1" t="s">
        <v>92</v>
      </c>
      <c r="D48" s="1">
        <v>101571</v>
      </c>
      <c r="E48" s="1">
        <v>1122844</v>
      </c>
      <c r="F48" s="1">
        <v>1279116</v>
      </c>
      <c r="G48" s="1">
        <v>1340783</v>
      </c>
      <c r="H48" s="1">
        <v>1532500</v>
      </c>
      <c r="I48" s="1">
        <v>1925139</v>
      </c>
      <c r="J48" s="1">
        <v>2447011</v>
      </c>
      <c r="K48" s="1">
        <v>2765701</v>
      </c>
      <c r="L48" s="1">
        <v>3090876</v>
      </c>
      <c r="M48" s="1">
        <v>3224006</v>
      </c>
      <c r="N48" s="1">
        <v>3317169</v>
      </c>
      <c r="O48" s="1">
        <v>5551000</v>
      </c>
      <c r="P48" s="1">
        <v>5321000</v>
      </c>
      <c r="Q48" s="1">
        <v>17184000</v>
      </c>
      <c r="R48" s="1">
        <v>25660000</v>
      </c>
      <c r="S48" s="1">
        <v>33750000</v>
      </c>
      <c r="T48" s="1">
        <v>40916000</v>
      </c>
      <c r="U48" s="1">
        <v>37784000</v>
      </c>
      <c r="V48" s="1">
        <v>34653000</v>
      </c>
      <c r="W48" s="1">
        <v>59062000</v>
      </c>
      <c r="X48" s="1">
        <v>57858000</v>
      </c>
      <c r="Y48" s="1">
        <v>57141000</v>
      </c>
    </row>
    <row r="49" spans="1:25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>
        <v>12023000</v>
      </c>
      <c r="P49" s="1">
        <v>9296000</v>
      </c>
      <c r="Q49" s="1">
        <v>8525000</v>
      </c>
      <c r="R49" s="1">
        <v>234000</v>
      </c>
      <c r="S49" s="1" t="s">
        <v>92</v>
      </c>
      <c r="T49" s="1" t="s">
        <v>92</v>
      </c>
      <c r="U49" s="1">
        <v>45499000</v>
      </c>
      <c r="V49" s="1">
        <v>100181000</v>
      </c>
      <c r="W49" s="1">
        <v>114752000</v>
      </c>
      <c r="X49" s="1">
        <v>28536000</v>
      </c>
      <c r="Y49" s="1">
        <v>156207000</v>
      </c>
    </row>
    <row r="50" spans="1:25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12126765</v>
      </c>
      <c r="G50" s="1">
        <v>19959681</v>
      </c>
      <c r="H50" s="1">
        <v>15868719</v>
      </c>
      <c r="I50" s="1">
        <v>6724104</v>
      </c>
      <c r="J50" s="1">
        <v>8826778</v>
      </c>
      <c r="K50" s="1">
        <v>10997093</v>
      </c>
      <c r="L50" s="1">
        <v>13919753</v>
      </c>
      <c r="M50" s="1">
        <v>12716169</v>
      </c>
      <c r="N50" s="1">
        <v>11605812</v>
      </c>
      <c r="O50" s="1">
        <v>13679000</v>
      </c>
      <c r="P50" s="1">
        <v>10877000</v>
      </c>
      <c r="Q50" s="1">
        <v>13719000</v>
      </c>
      <c r="R50" s="1">
        <v>19515000</v>
      </c>
      <c r="S50" s="1">
        <v>15755000</v>
      </c>
      <c r="T50" s="1">
        <v>19347000</v>
      </c>
      <c r="U50" s="1">
        <v>27688000</v>
      </c>
      <c r="V50" s="1">
        <v>45770000</v>
      </c>
      <c r="W50" s="1">
        <v>127193000</v>
      </c>
      <c r="X50" s="1">
        <v>96355000</v>
      </c>
      <c r="Y50" s="1">
        <v>156866000</v>
      </c>
    </row>
    <row r="51" spans="1:25" ht="19" x14ac:dyDescent="0.25">
      <c r="A51" s="5" t="s">
        <v>43</v>
      </c>
      <c r="B51" s="1" t="s">
        <v>92</v>
      </c>
      <c r="C51" s="1">
        <v>72416</v>
      </c>
      <c r="D51" s="1" t="s">
        <v>92</v>
      </c>
      <c r="E51" s="1" t="s">
        <v>92</v>
      </c>
      <c r="F51" s="1">
        <v>18071815</v>
      </c>
      <c r="G51" s="1">
        <v>27548120</v>
      </c>
      <c r="H51" s="1">
        <v>25477574</v>
      </c>
      <c r="I51" s="1">
        <v>9087696</v>
      </c>
      <c r="J51" s="1">
        <v>14970</v>
      </c>
      <c r="K51" s="1">
        <v>104812</v>
      </c>
      <c r="L51" s="1">
        <v>944346</v>
      </c>
      <c r="M51" s="1">
        <v>444933</v>
      </c>
      <c r="N51" s="1">
        <v>308553</v>
      </c>
      <c r="O51" s="1">
        <v>618000</v>
      </c>
      <c r="P51" s="1">
        <v>2523000</v>
      </c>
      <c r="Q51" s="1">
        <v>7196000</v>
      </c>
      <c r="R51" s="1">
        <v>31519000</v>
      </c>
      <c r="S51" s="1">
        <v>52243000</v>
      </c>
      <c r="T51" s="1">
        <v>63229000</v>
      </c>
      <c r="U51" s="1">
        <v>62154000</v>
      </c>
      <c r="V51" s="1">
        <v>90665000</v>
      </c>
      <c r="W51" s="1">
        <v>115986000</v>
      </c>
      <c r="X51" s="1">
        <v>457822000</v>
      </c>
      <c r="Y51" s="1">
        <v>506559000</v>
      </c>
    </row>
    <row r="52" spans="1:25" ht="19" x14ac:dyDescent="0.25">
      <c r="A52" s="5" t="s">
        <v>44</v>
      </c>
      <c r="B52" s="1" t="s">
        <v>92</v>
      </c>
      <c r="C52" s="1">
        <v>632839</v>
      </c>
      <c r="D52" s="1">
        <v>762945</v>
      </c>
      <c r="E52" s="1">
        <v>5069725</v>
      </c>
      <c r="F52" s="1">
        <v>46234208</v>
      </c>
      <c r="G52" s="1">
        <v>69910338</v>
      </c>
      <c r="H52" s="1">
        <v>63721425</v>
      </c>
      <c r="I52" s="1">
        <v>41336619</v>
      </c>
      <c r="J52" s="1">
        <v>38416791</v>
      </c>
      <c r="K52" s="1">
        <v>52540671</v>
      </c>
      <c r="L52" s="1">
        <v>53860740</v>
      </c>
      <c r="M52" s="1">
        <v>43230328</v>
      </c>
      <c r="N52" s="1">
        <v>37183735</v>
      </c>
      <c r="O52" s="1">
        <v>50914000</v>
      </c>
      <c r="P52" s="1">
        <v>45540000</v>
      </c>
      <c r="Q52" s="1">
        <v>68472000</v>
      </c>
      <c r="R52" s="1">
        <v>100932000</v>
      </c>
      <c r="S52" s="1">
        <v>132920000</v>
      </c>
      <c r="T52" s="1">
        <v>161385000</v>
      </c>
      <c r="U52" s="1">
        <v>226548000</v>
      </c>
      <c r="V52" s="1">
        <v>399071000</v>
      </c>
      <c r="W52" s="1">
        <v>578720000</v>
      </c>
      <c r="X52" s="1">
        <v>804731000</v>
      </c>
      <c r="Y52" s="1">
        <v>1046616000</v>
      </c>
    </row>
    <row r="53" spans="1:25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>
        <v>1000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</row>
    <row r="54" spans="1:25" ht="20" thickBot="1" x14ac:dyDescent="0.3">
      <c r="A54" s="7" t="s">
        <v>46</v>
      </c>
      <c r="B54" s="11" t="s">
        <v>92</v>
      </c>
      <c r="C54" s="11">
        <v>8054679</v>
      </c>
      <c r="D54" s="11">
        <v>7904213</v>
      </c>
      <c r="E54" s="11">
        <v>31444690</v>
      </c>
      <c r="F54" s="11">
        <v>106269136</v>
      </c>
      <c r="G54" s="11">
        <v>112338194</v>
      </c>
      <c r="H54" s="11">
        <v>119837689</v>
      </c>
      <c r="I54" s="11">
        <v>137763401</v>
      </c>
      <c r="J54" s="11">
        <v>130015506</v>
      </c>
      <c r="K54" s="11">
        <v>138425917</v>
      </c>
      <c r="L54" s="11">
        <v>136186935</v>
      </c>
      <c r="M54" s="11">
        <v>104962751</v>
      </c>
      <c r="N54" s="11">
        <v>116236251</v>
      </c>
      <c r="O54" s="11">
        <v>148382000</v>
      </c>
      <c r="P54" s="11">
        <v>185368000</v>
      </c>
      <c r="Q54" s="11">
        <v>229881000</v>
      </c>
      <c r="R54" s="11">
        <v>278163000</v>
      </c>
      <c r="S54" s="11">
        <v>338112000</v>
      </c>
      <c r="T54" s="11">
        <v>719540000</v>
      </c>
      <c r="U54" s="11">
        <v>845639000</v>
      </c>
      <c r="V54" s="11">
        <v>1381023000</v>
      </c>
      <c r="W54" s="11">
        <v>1688210000</v>
      </c>
      <c r="X54" s="11">
        <v>2010430000</v>
      </c>
      <c r="Y54" s="11">
        <v>2851894000</v>
      </c>
    </row>
    <row r="55" spans="1:25" ht="20" thickTop="1" x14ac:dyDescent="0.25">
      <c r="A55" s="5" t="s">
        <v>47</v>
      </c>
      <c r="B55" s="1" t="s">
        <v>92</v>
      </c>
      <c r="C55" s="1">
        <v>1154280</v>
      </c>
      <c r="D55" s="1">
        <v>1366432</v>
      </c>
      <c r="E55" s="1">
        <v>3522327</v>
      </c>
      <c r="F55" s="1">
        <v>8432066</v>
      </c>
      <c r="G55" s="1">
        <v>6285274</v>
      </c>
      <c r="H55" s="1">
        <v>4554203</v>
      </c>
      <c r="I55" s="1">
        <v>7304112</v>
      </c>
      <c r="J55" s="1">
        <v>3856961</v>
      </c>
      <c r="K55" s="1">
        <v>6357195</v>
      </c>
      <c r="L55" s="1">
        <v>4550789</v>
      </c>
      <c r="M55" s="1">
        <v>4513938</v>
      </c>
      <c r="N55" s="1">
        <v>6222904</v>
      </c>
      <c r="O55" s="1">
        <v>6221000</v>
      </c>
      <c r="P55" s="1">
        <v>7682000</v>
      </c>
      <c r="Q55" s="1">
        <v>7333000</v>
      </c>
      <c r="R55" s="1">
        <v>10736000</v>
      </c>
      <c r="S55" s="1">
        <v>8592000</v>
      </c>
      <c r="T55" s="1">
        <v>15164000</v>
      </c>
      <c r="U55" s="1">
        <v>25874000</v>
      </c>
      <c r="V55" s="1">
        <v>24142000</v>
      </c>
      <c r="W55" s="1">
        <v>32220000</v>
      </c>
      <c r="X55" s="1">
        <v>50193000</v>
      </c>
      <c r="Y55" s="1">
        <v>59918000</v>
      </c>
    </row>
    <row r="56" spans="1:25" ht="19" x14ac:dyDescent="0.25">
      <c r="A56" s="5" t="s">
        <v>48</v>
      </c>
      <c r="B56" s="1" t="s">
        <v>92</v>
      </c>
      <c r="C56" s="1">
        <v>1268363</v>
      </c>
      <c r="D56" s="1">
        <v>422418</v>
      </c>
      <c r="E56" s="1">
        <v>265223</v>
      </c>
      <c r="F56" s="1">
        <v>4642</v>
      </c>
      <c r="G56" s="1">
        <v>43111</v>
      </c>
      <c r="H56" s="1">
        <v>45214</v>
      </c>
      <c r="I56" s="1">
        <v>19257</v>
      </c>
      <c r="J56" s="1" t="s">
        <v>92</v>
      </c>
      <c r="K56" s="1" t="s">
        <v>92</v>
      </c>
      <c r="L56" s="1" t="s">
        <v>92</v>
      </c>
      <c r="M56" s="1" t="s">
        <v>92</v>
      </c>
      <c r="N56" s="1">
        <v>33947</v>
      </c>
      <c r="O56" s="1">
        <v>36000</v>
      </c>
      <c r="P56" s="1">
        <v>38000</v>
      </c>
      <c r="Q56" s="1">
        <v>87000</v>
      </c>
      <c r="R56" s="1" t="s">
        <v>92</v>
      </c>
      <c r="S56" s="1" t="s">
        <v>92</v>
      </c>
      <c r="T56" s="1" t="s">
        <v>92</v>
      </c>
      <c r="U56" s="1" t="s">
        <v>92</v>
      </c>
      <c r="V56" s="1" t="s">
        <v>92</v>
      </c>
      <c r="W56" s="1" t="s">
        <v>92</v>
      </c>
      <c r="X56" s="1" t="s">
        <v>92</v>
      </c>
      <c r="Y56" s="1">
        <v>0</v>
      </c>
    </row>
    <row r="57" spans="1:25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>
        <v>141488</v>
      </c>
      <c r="N57" s="1">
        <v>295595</v>
      </c>
      <c r="O57" s="1">
        <v>233000</v>
      </c>
      <c r="P57" s="1">
        <v>539000</v>
      </c>
      <c r="Q57" s="1">
        <v>1215000</v>
      </c>
      <c r="R57" s="1">
        <v>4581000</v>
      </c>
      <c r="S57" s="1">
        <v>2558000</v>
      </c>
      <c r="T57" s="1">
        <v>4167000</v>
      </c>
      <c r="U57" s="1">
        <v>3362000</v>
      </c>
      <c r="V57" s="1">
        <v>3848000</v>
      </c>
      <c r="W57" s="1">
        <v>3736000</v>
      </c>
      <c r="X57" s="1" t="s">
        <v>92</v>
      </c>
      <c r="Y57" s="1" t="s">
        <v>92</v>
      </c>
    </row>
    <row r="58" spans="1:2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>
        <v>561165</v>
      </c>
      <c r="H58" s="1">
        <v>1037441</v>
      </c>
      <c r="I58" s="1">
        <v>1694644</v>
      </c>
      <c r="J58" s="1">
        <v>2510645</v>
      </c>
      <c r="K58" s="1">
        <v>2819155</v>
      </c>
      <c r="L58" s="1">
        <v>3265260</v>
      </c>
      <c r="M58" s="1">
        <v>3730955</v>
      </c>
      <c r="N58" s="1">
        <v>4787323</v>
      </c>
      <c r="O58" s="1">
        <v>8032000</v>
      </c>
      <c r="P58" s="1">
        <v>15008000</v>
      </c>
      <c r="Q58" s="1">
        <v>22077000</v>
      </c>
      <c r="R58" s="1">
        <v>47285000</v>
      </c>
      <c r="S58" s="1">
        <v>74074000</v>
      </c>
      <c r="T58" s="1">
        <v>109718000</v>
      </c>
      <c r="U58" s="1">
        <v>120838000</v>
      </c>
      <c r="V58" s="1">
        <v>166915000</v>
      </c>
      <c r="W58" s="1">
        <v>276054000</v>
      </c>
      <c r="X58" s="1">
        <v>261763000</v>
      </c>
      <c r="Y58" s="1">
        <v>380436000</v>
      </c>
    </row>
    <row r="59" spans="1:25" ht="19" x14ac:dyDescent="0.25">
      <c r="A59" s="5" t="s">
        <v>51</v>
      </c>
      <c r="B59" s="1" t="s">
        <v>92</v>
      </c>
      <c r="C59" s="1">
        <v>33013</v>
      </c>
      <c r="D59" s="1">
        <v>15455</v>
      </c>
      <c r="E59" s="1">
        <v>185914</v>
      </c>
      <c r="F59" s="1">
        <v>102165</v>
      </c>
      <c r="G59" s="1">
        <v>666771</v>
      </c>
      <c r="H59" s="1">
        <v>12665830</v>
      </c>
      <c r="I59" s="1">
        <v>3455603</v>
      </c>
      <c r="J59" s="1">
        <v>4588593</v>
      </c>
      <c r="K59" s="1">
        <v>4608503</v>
      </c>
      <c r="L59" s="1">
        <v>4131945</v>
      </c>
      <c r="M59" s="1">
        <v>7501516</v>
      </c>
      <c r="N59" s="1">
        <v>6769490</v>
      </c>
      <c r="O59" s="1">
        <v>8607000</v>
      </c>
      <c r="P59" s="1">
        <v>8706000</v>
      </c>
      <c r="Q59" s="1">
        <v>7428000</v>
      </c>
      <c r="R59" s="1">
        <v>15437000</v>
      </c>
      <c r="S59" s="1">
        <v>22726000</v>
      </c>
      <c r="T59" s="1">
        <v>36962000</v>
      </c>
      <c r="U59" s="1">
        <v>45492000</v>
      </c>
      <c r="V59" s="1">
        <v>61426000</v>
      </c>
      <c r="W59" s="1">
        <v>106511000</v>
      </c>
      <c r="X59" s="1">
        <v>119567000</v>
      </c>
      <c r="Y59" s="1">
        <v>162292000</v>
      </c>
    </row>
    <row r="60" spans="1:25" ht="19" x14ac:dyDescent="0.25">
      <c r="A60" s="6" t="s">
        <v>52</v>
      </c>
      <c r="B60" s="10" t="s">
        <v>92</v>
      </c>
      <c r="C60" s="10">
        <v>2455656</v>
      </c>
      <c r="D60" s="10">
        <v>1804305</v>
      </c>
      <c r="E60" s="10">
        <v>3973464</v>
      </c>
      <c r="F60" s="10">
        <v>8538873</v>
      </c>
      <c r="G60" s="10">
        <v>7556321</v>
      </c>
      <c r="H60" s="10">
        <v>18302688</v>
      </c>
      <c r="I60" s="10">
        <v>12473616</v>
      </c>
      <c r="J60" s="10">
        <v>10956199</v>
      </c>
      <c r="K60" s="10">
        <v>13784853</v>
      </c>
      <c r="L60" s="10">
        <v>11947994</v>
      </c>
      <c r="M60" s="10">
        <v>15887897</v>
      </c>
      <c r="N60" s="10">
        <v>18109259</v>
      </c>
      <c r="O60" s="10">
        <v>23129000</v>
      </c>
      <c r="P60" s="10">
        <v>31973000</v>
      </c>
      <c r="Q60" s="10">
        <v>38140000</v>
      </c>
      <c r="R60" s="10">
        <v>78039000</v>
      </c>
      <c r="S60" s="10">
        <v>107950000</v>
      </c>
      <c r="T60" s="10">
        <v>166011000</v>
      </c>
      <c r="U60" s="10">
        <v>195566000</v>
      </c>
      <c r="V60" s="10">
        <v>256331000</v>
      </c>
      <c r="W60" s="10">
        <v>418521000</v>
      </c>
      <c r="X60" s="10">
        <v>431523000</v>
      </c>
      <c r="Y60" s="10">
        <v>602646000</v>
      </c>
    </row>
    <row r="61" spans="1:25" ht="19" x14ac:dyDescent="0.25">
      <c r="A61" s="5" t="s">
        <v>53</v>
      </c>
      <c r="B61" s="1" t="s">
        <v>92</v>
      </c>
      <c r="C61" s="1" t="s">
        <v>92</v>
      </c>
      <c r="D61" s="1">
        <v>15486</v>
      </c>
      <c r="E61" s="1">
        <v>3655</v>
      </c>
      <c r="F61" s="1" t="s">
        <v>92</v>
      </c>
      <c r="G61" s="1">
        <v>76188</v>
      </c>
      <c r="H61" s="1">
        <v>30974</v>
      </c>
      <c r="I61" s="1">
        <v>11695</v>
      </c>
      <c r="J61" s="1" t="s">
        <v>92</v>
      </c>
      <c r="K61" s="1" t="s">
        <v>92</v>
      </c>
      <c r="L61" s="1" t="s">
        <v>92</v>
      </c>
      <c r="M61" s="1" t="s">
        <v>92</v>
      </c>
      <c r="N61" s="1">
        <v>103283</v>
      </c>
      <c r="O61" s="1">
        <v>67000</v>
      </c>
      <c r="P61" s="1">
        <v>29000</v>
      </c>
      <c r="Q61" s="1">
        <v>81000</v>
      </c>
      <c r="R61" s="1" t="s">
        <v>92</v>
      </c>
      <c r="S61" s="1" t="s">
        <v>92</v>
      </c>
      <c r="T61" s="1" t="s">
        <v>92</v>
      </c>
      <c r="U61" s="1" t="s">
        <v>92</v>
      </c>
      <c r="V61" s="1" t="s">
        <v>92</v>
      </c>
      <c r="W61" s="1" t="s">
        <v>92</v>
      </c>
      <c r="X61" s="1">
        <v>16311000</v>
      </c>
      <c r="Y61" s="1">
        <v>711110000</v>
      </c>
    </row>
    <row r="62" spans="1:25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>
        <v>4675089</v>
      </c>
      <c r="L62" s="1">
        <v>4392860</v>
      </c>
      <c r="M62" s="1">
        <v>4636901</v>
      </c>
      <c r="N62" s="1">
        <v>7835767</v>
      </c>
      <c r="O62" s="1">
        <v>13341000</v>
      </c>
      <c r="P62" s="1">
        <v>21668000</v>
      </c>
      <c r="Q62" s="1">
        <v>30190000</v>
      </c>
      <c r="R62" s="1">
        <v>40054000</v>
      </c>
      <c r="S62" s="1">
        <v>54881000</v>
      </c>
      <c r="T62" s="1">
        <v>74417000</v>
      </c>
      <c r="U62" s="1">
        <v>87936000</v>
      </c>
      <c r="V62" s="1">
        <v>111222000</v>
      </c>
      <c r="W62" s="1">
        <v>185721000</v>
      </c>
      <c r="X62" s="1">
        <v>313823000</v>
      </c>
      <c r="Y62" s="1">
        <v>248003000</v>
      </c>
    </row>
    <row r="63" spans="1:25" ht="19" x14ac:dyDescent="0.25">
      <c r="A63" s="5" t="s">
        <v>54</v>
      </c>
      <c r="B63" s="1" t="s">
        <v>92</v>
      </c>
      <c r="C63" s="1">
        <v>19311</v>
      </c>
      <c r="D63" s="1">
        <v>69821</v>
      </c>
      <c r="E63" s="1">
        <v>40121</v>
      </c>
      <c r="F63" s="1" t="s">
        <v>92</v>
      </c>
      <c r="G63" s="1" t="s">
        <v>92</v>
      </c>
      <c r="H63" s="1" t="s">
        <v>92</v>
      </c>
      <c r="I63" s="1" t="s">
        <v>92</v>
      </c>
      <c r="J63" s="1" t="s">
        <v>92</v>
      </c>
      <c r="K63" s="1">
        <v>2264779</v>
      </c>
      <c r="L63" s="1" t="s">
        <v>92</v>
      </c>
      <c r="M63" s="1">
        <v>1982399</v>
      </c>
      <c r="N63" s="1">
        <v>2902896</v>
      </c>
      <c r="O63" s="1">
        <v>3122000</v>
      </c>
      <c r="P63" s="1">
        <v>1471000</v>
      </c>
      <c r="Q63" s="1">
        <v>1315000</v>
      </c>
      <c r="R63" s="1" t="s">
        <v>92</v>
      </c>
      <c r="S63" s="1" t="s">
        <v>92</v>
      </c>
      <c r="T63" s="1" t="s">
        <v>92</v>
      </c>
      <c r="U63" s="1">
        <v>354000</v>
      </c>
      <c r="V63" s="1">
        <v>649000</v>
      </c>
      <c r="W63" s="1">
        <v>811000</v>
      </c>
      <c r="X63" s="1">
        <v>1000</v>
      </c>
      <c r="Y63" s="1">
        <v>1000</v>
      </c>
    </row>
    <row r="64" spans="1:25" ht="19" x14ac:dyDescent="0.25">
      <c r="A64" s="5" t="s">
        <v>55</v>
      </c>
      <c r="B64" s="1" t="s">
        <v>92</v>
      </c>
      <c r="C64" s="1">
        <v>50979</v>
      </c>
      <c r="D64" s="1" t="s">
        <v>92</v>
      </c>
      <c r="E64" s="1" t="s">
        <v>92</v>
      </c>
      <c r="F64" s="1">
        <v>607856</v>
      </c>
      <c r="G64" s="1">
        <v>839983</v>
      </c>
      <c r="H64" s="1">
        <v>2175488</v>
      </c>
      <c r="I64" s="1">
        <v>4641340</v>
      </c>
      <c r="J64" s="1">
        <v>6533045</v>
      </c>
      <c r="K64" s="1" t="s">
        <v>92</v>
      </c>
      <c r="L64" s="1">
        <v>2281840</v>
      </c>
      <c r="M64" s="1" t="s">
        <v>92</v>
      </c>
      <c r="N64" s="1" t="s">
        <v>92</v>
      </c>
      <c r="O64" s="1">
        <v>376000</v>
      </c>
      <c r="P64" s="1">
        <v>1121000</v>
      </c>
      <c r="Q64" s="1">
        <v>3151000</v>
      </c>
      <c r="R64" s="1">
        <v>9182000</v>
      </c>
      <c r="S64" s="1">
        <v>7837000</v>
      </c>
      <c r="T64" s="1">
        <v>11788000</v>
      </c>
      <c r="U64" s="1">
        <v>18288000</v>
      </c>
      <c r="V64" s="1">
        <v>36566000</v>
      </c>
      <c r="W64" s="1">
        <v>35308000</v>
      </c>
      <c r="X64" s="1">
        <v>17459000</v>
      </c>
      <c r="Y64" s="1">
        <v>21643000</v>
      </c>
    </row>
    <row r="65" spans="1:25" ht="19" x14ac:dyDescent="0.25">
      <c r="A65" s="5" t="s">
        <v>56</v>
      </c>
      <c r="B65" s="1" t="s">
        <v>92</v>
      </c>
      <c r="C65" s="1">
        <v>70290</v>
      </c>
      <c r="D65" s="1">
        <v>85307</v>
      </c>
      <c r="E65" s="1">
        <v>43776</v>
      </c>
      <c r="F65" s="1">
        <v>607856</v>
      </c>
      <c r="G65" s="1">
        <v>916171</v>
      </c>
      <c r="H65" s="1">
        <v>2206462</v>
      </c>
      <c r="I65" s="1">
        <v>4653035</v>
      </c>
      <c r="J65" s="1">
        <v>6533045</v>
      </c>
      <c r="K65" s="1">
        <v>6939868</v>
      </c>
      <c r="L65" s="1">
        <v>6674700</v>
      </c>
      <c r="M65" s="1">
        <v>6619300</v>
      </c>
      <c r="N65" s="1">
        <v>10841946</v>
      </c>
      <c r="O65" s="1">
        <v>16906000</v>
      </c>
      <c r="P65" s="1">
        <v>24289000</v>
      </c>
      <c r="Q65" s="1">
        <v>34737000</v>
      </c>
      <c r="R65" s="1">
        <v>49236000</v>
      </c>
      <c r="S65" s="1">
        <v>62718000</v>
      </c>
      <c r="T65" s="1">
        <v>86205000</v>
      </c>
      <c r="U65" s="1">
        <v>106578000</v>
      </c>
      <c r="V65" s="1">
        <v>148437000</v>
      </c>
      <c r="W65" s="1">
        <v>221840000</v>
      </c>
      <c r="X65" s="1">
        <v>347594000</v>
      </c>
      <c r="Y65" s="1">
        <v>980757000</v>
      </c>
    </row>
    <row r="66" spans="1:25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</row>
    <row r="67" spans="1:25" ht="19" x14ac:dyDescent="0.25">
      <c r="A67" s="6" t="s">
        <v>58</v>
      </c>
      <c r="B67" s="10" t="s">
        <v>92</v>
      </c>
      <c r="C67" s="10">
        <v>2525946</v>
      </c>
      <c r="D67" s="10">
        <v>1889612</v>
      </c>
      <c r="E67" s="10">
        <v>4017240</v>
      </c>
      <c r="F67" s="10">
        <v>9146729</v>
      </c>
      <c r="G67" s="10">
        <v>8472492</v>
      </c>
      <c r="H67" s="10">
        <v>20509150</v>
      </c>
      <c r="I67" s="10">
        <v>17126651</v>
      </c>
      <c r="J67" s="10">
        <v>17489244</v>
      </c>
      <c r="K67" s="10">
        <v>20724721</v>
      </c>
      <c r="L67" s="10">
        <v>18622694</v>
      </c>
      <c r="M67" s="10">
        <v>22507197</v>
      </c>
      <c r="N67" s="10">
        <v>28951205</v>
      </c>
      <c r="O67" s="10">
        <v>40035000</v>
      </c>
      <c r="P67" s="10">
        <v>56262000</v>
      </c>
      <c r="Q67" s="10">
        <v>72877000</v>
      </c>
      <c r="R67" s="10">
        <v>127275000</v>
      </c>
      <c r="S67" s="10">
        <v>170668000</v>
      </c>
      <c r="T67" s="10">
        <v>252216000</v>
      </c>
      <c r="U67" s="10">
        <v>302144000</v>
      </c>
      <c r="V67" s="10">
        <v>404768000</v>
      </c>
      <c r="W67" s="10">
        <v>640361000</v>
      </c>
      <c r="X67" s="10">
        <v>779117000</v>
      </c>
      <c r="Y67" s="10">
        <v>1583403000</v>
      </c>
    </row>
    <row r="68" spans="1:25" ht="19" x14ac:dyDescent="0.25">
      <c r="A68" s="5" t="s">
        <v>59</v>
      </c>
      <c r="B68" s="1" t="s">
        <v>92</v>
      </c>
      <c r="C68" s="1">
        <v>27</v>
      </c>
      <c r="D68" s="1">
        <v>28</v>
      </c>
      <c r="E68" s="1">
        <v>126</v>
      </c>
      <c r="F68" s="1">
        <v>609</v>
      </c>
      <c r="G68" s="1">
        <v>619</v>
      </c>
      <c r="H68" s="1">
        <v>622</v>
      </c>
      <c r="I68" s="1">
        <v>635</v>
      </c>
      <c r="J68" s="1">
        <v>638</v>
      </c>
      <c r="K68" s="1">
        <v>642</v>
      </c>
      <c r="L68" s="1">
        <v>647</v>
      </c>
      <c r="M68" s="1">
        <v>652</v>
      </c>
      <c r="N68" s="1">
        <v>661</v>
      </c>
      <c r="O68" s="1">
        <v>1000</v>
      </c>
      <c r="P68" s="1">
        <v>1000</v>
      </c>
      <c r="Q68" s="1">
        <v>1000</v>
      </c>
      <c r="R68" s="1">
        <v>1000</v>
      </c>
      <c r="S68" s="1">
        <v>1000</v>
      </c>
      <c r="T68" s="1">
        <v>1000</v>
      </c>
      <c r="U68" s="1">
        <v>1000</v>
      </c>
      <c r="V68" s="1">
        <v>1000</v>
      </c>
      <c r="W68" s="1">
        <v>1000</v>
      </c>
      <c r="X68" s="1">
        <v>1000</v>
      </c>
      <c r="Y68" s="1">
        <v>1000</v>
      </c>
    </row>
    <row r="69" spans="1:25" ht="19" x14ac:dyDescent="0.25">
      <c r="A69" s="5" t="s">
        <v>60</v>
      </c>
      <c r="B69" s="1" t="s">
        <v>92</v>
      </c>
      <c r="C69" s="1">
        <v>515029</v>
      </c>
      <c r="D69" s="1">
        <v>723932</v>
      </c>
      <c r="E69" s="1">
        <v>5177622</v>
      </c>
      <c r="F69" s="1">
        <v>24302430</v>
      </c>
      <c r="G69" s="1">
        <v>25122221</v>
      </c>
      <c r="H69" s="1">
        <v>20907215</v>
      </c>
      <c r="I69" s="1">
        <v>35933691</v>
      </c>
      <c r="J69" s="1">
        <v>39570732</v>
      </c>
      <c r="K69" s="1">
        <v>39569626</v>
      </c>
      <c r="L69" s="1">
        <v>35185191</v>
      </c>
      <c r="M69" s="1">
        <v>28145325</v>
      </c>
      <c r="N69" s="1">
        <v>42883067</v>
      </c>
      <c r="O69" s="1">
        <v>61127000</v>
      </c>
      <c r="P69" s="1">
        <v>81045000</v>
      </c>
      <c r="Q69" s="1">
        <v>100978000</v>
      </c>
      <c r="R69" s="1">
        <v>118275000</v>
      </c>
      <c r="S69" s="1">
        <v>123185000</v>
      </c>
      <c r="T69" s="1">
        <v>171383000</v>
      </c>
      <c r="U69" s="1">
        <v>172265000</v>
      </c>
      <c r="V69" s="1">
        <v>169901000</v>
      </c>
      <c r="W69" s="1">
        <v>109883000</v>
      </c>
      <c r="X69" s="1">
        <v>227847000</v>
      </c>
      <c r="Y69" s="1">
        <v>257022000</v>
      </c>
    </row>
    <row r="70" spans="1:25" ht="19" x14ac:dyDescent="0.25">
      <c r="A70" s="5" t="s">
        <v>61</v>
      </c>
      <c r="B70" s="1" t="s">
        <v>92</v>
      </c>
      <c r="C70" s="1">
        <v>-744179</v>
      </c>
      <c r="D70" s="1">
        <v>-974787</v>
      </c>
      <c r="E70" s="1">
        <v>-1338686</v>
      </c>
      <c r="F70" s="1">
        <v>-1851353</v>
      </c>
      <c r="G70" s="1">
        <v>-2349842</v>
      </c>
      <c r="H70" s="1">
        <v>-4403867</v>
      </c>
      <c r="I70" s="1">
        <v>-6848163</v>
      </c>
      <c r="J70" s="1">
        <v>-9043200</v>
      </c>
      <c r="K70" s="1">
        <v>-12589903</v>
      </c>
      <c r="L70" s="1">
        <v>-35445</v>
      </c>
      <c r="M70" s="1">
        <v>-80956</v>
      </c>
      <c r="N70" s="1">
        <v>-57032</v>
      </c>
      <c r="O70" s="1">
        <v>-2000</v>
      </c>
      <c r="P70" s="1">
        <v>64000</v>
      </c>
      <c r="Q70" s="1">
        <v>83000</v>
      </c>
      <c r="R70" s="1">
        <v>903000</v>
      </c>
      <c r="S70" s="1">
        <v>-1467000</v>
      </c>
      <c r="T70" s="1">
        <v>-1513000</v>
      </c>
      <c r="U70" s="1">
        <v>-1096000</v>
      </c>
      <c r="V70" s="1">
        <v>141000</v>
      </c>
      <c r="W70" s="1">
        <v>-1317000</v>
      </c>
      <c r="X70" s="1">
        <v>-7806000</v>
      </c>
      <c r="Y70" s="1">
        <v>-7179000</v>
      </c>
    </row>
    <row r="71" spans="1:25" ht="19" x14ac:dyDescent="0.25">
      <c r="A71" s="5" t="s">
        <v>62</v>
      </c>
      <c r="B71" s="1" t="s">
        <v>92</v>
      </c>
      <c r="C71" s="1">
        <v>5757856</v>
      </c>
      <c r="D71" s="1">
        <v>6265428</v>
      </c>
      <c r="E71" s="1">
        <v>23588388</v>
      </c>
      <c r="F71" s="1">
        <v>74670721</v>
      </c>
      <c r="G71" s="1">
        <v>81092704</v>
      </c>
      <c r="H71" s="1">
        <v>82824569</v>
      </c>
      <c r="I71" s="1">
        <v>91550587</v>
      </c>
      <c r="J71" s="1">
        <v>81998092</v>
      </c>
      <c r="K71" s="1">
        <v>90720831</v>
      </c>
      <c r="L71" s="1">
        <v>82413848</v>
      </c>
      <c r="M71" s="1">
        <v>54390533</v>
      </c>
      <c r="N71" s="1">
        <v>44458350</v>
      </c>
      <c r="O71" s="1">
        <v>47221000</v>
      </c>
      <c r="P71" s="1">
        <v>47996000</v>
      </c>
      <c r="Q71" s="1">
        <v>55942000</v>
      </c>
      <c r="R71" s="1">
        <v>31709000</v>
      </c>
      <c r="S71" s="1">
        <v>45725000</v>
      </c>
      <c r="T71" s="1">
        <v>297453000</v>
      </c>
      <c r="U71" s="1">
        <v>372325000</v>
      </c>
      <c r="V71" s="1">
        <v>806212000</v>
      </c>
      <c r="W71" s="1">
        <v>939282000</v>
      </c>
      <c r="X71" s="1">
        <v>1011271000</v>
      </c>
      <c r="Y71" s="1">
        <v>1018647000</v>
      </c>
    </row>
    <row r="72" spans="1:25" ht="19" x14ac:dyDescent="0.25">
      <c r="A72" s="6" t="s">
        <v>63</v>
      </c>
      <c r="B72" s="10" t="s">
        <v>92</v>
      </c>
      <c r="C72" s="10">
        <v>5528733</v>
      </c>
      <c r="D72" s="10">
        <v>6014601</v>
      </c>
      <c r="E72" s="10">
        <v>27427450</v>
      </c>
      <c r="F72" s="10">
        <v>97122407</v>
      </c>
      <c r="G72" s="10">
        <v>103865702</v>
      </c>
      <c r="H72" s="10">
        <v>99328539</v>
      </c>
      <c r="I72" s="10">
        <v>120636750</v>
      </c>
      <c r="J72" s="10">
        <v>112526262</v>
      </c>
      <c r="K72" s="10">
        <v>117701196</v>
      </c>
      <c r="L72" s="10">
        <v>117564241</v>
      </c>
      <c r="M72" s="10">
        <v>82455554</v>
      </c>
      <c r="N72" s="10">
        <v>87285046</v>
      </c>
      <c r="O72" s="10">
        <v>108347000</v>
      </c>
      <c r="P72" s="10">
        <v>129106000</v>
      </c>
      <c r="Q72" s="10">
        <v>157004000</v>
      </c>
      <c r="R72" s="10">
        <v>150888000</v>
      </c>
      <c r="S72" s="10">
        <v>167444000</v>
      </c>
      <c r="T72" s="10">
        <v>467324000</v>
      </c>
      <c r="U72" s="10">
        <v>543495000</v>
      </c>
      <c r="V72" s="10">
        <v>976255000</v>
      </c>
      <c r="W72" s="10">
        <v>1047849000</v>
      </c>
      <c r="X72" s="10">
        <v>1231313000</v>
      </c>
      <c r="Y72" s="10">
        <v>1268491000</v>
      </c>
    </row>
    <row r="73" spans="1:25" ht="20" thickBot="1" x14ac:dyDescent="0.3">
      <c r="A73" s="7" t="s">
        <v>64</v>
      </c>
      <c r="B73" s="11" t="s">
        <v>92</v>
      </c>
      <c r="C73" s="11">
        <v>8054679</v>
      </c>
      <c r="D73" s="11">
        <v>7904213</v>
      </c>
      <c r="E73" s="11">
        <v>31444690</v>
      </c>
      <c r="F73" s="11">
        <v>106269136</v>
      </c>
      <c r="G73" s="11">
        <v>112338194</v>
      </c>
      <c r="H73" s="11">
        <v>119837689</v>
      </c>
      <c r="I73" s="11">
        <v>137763401</v>
      </c>
      <c r="J73" s="11">
        <v>130015506</v>
      </c>
      <c r="K73" s="11">
        <v>138425917</v>
      </c>
      <c r="L73" s="11">
        <v>136186935</v>
      </c>
      <c r="M73" s="11">
        <v>104962751</v>
      </c>
      <c r="N73" s="11">
        <v>116236251</v>
      </c>
      <c r="O73" s="11">
        <v>148382000</v>
      </c>
      <c r="P73" s="11">
        <v>185368000</v>
      </c>
      <c r="Q73" s="11">
        <v>229881000</v>
      </c>
      <c r="R73" s="11">
        <v>278163000</v>
      </c>
      <c r="S73" s="11">
        <v>338112000</v>
      </c>
      <c r="T73" s="11">
        <v>719540000</v>
      </c>
      <c r="U73" s="11">
        <v>845639000</v>
      </c>
      <c r="V73" s="11">
        <v>1381023000</v>
      </c>
      <c r="W73" s="11">
        <v>1688210000</v>
      </c>
      <c r="X73" s="11">
        <v>2010430000</v>
      </c>
      <c r="Y73" s="11">
        <v>2851894000</v>
      </c>
    </row>
    <row r="74" spans="1:25" ht="20" thickTop="1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</row>
    <row r="75" spans="1:25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</row>
    <row r="76" spans="1:25" ht="19" x14ac:dyDescent="0.25">
      <c r="A76" s="5" t="s">
        <v>66</v>
      </c>
      <c r="B76" s="1" t="s">
        <v>92</v>
      </c>
      <c r="C76" s="1">
        <v>-473247</v>
      </c>
      <c r="D76" s="1">
        <v>515029</v>
      </c>
      <c r="E76" s="1">
        <v>208903</v>
      </c>
      <c r="F76" s="1">
        <v>4453690</v>
      </c>
      <c r="G76" s="1">
        <v>19124808</v>
      </c>
      <c r="H76" s="1">
        <v>1062857</v>
      </c>
      <c r="I76" s="1">
        <v>-4087679</v>
      </c>
      <c r="J76" s="1">
        <v>15026476</v>
      </c>
      <c r="K76" s="1">
        <v>3637041</v>
      </c>
      <c r="L76" s="1">
        <v>-1106</v>
      </c>
      <c r="M76" s="1">
        <v>-4384435</v>
      </c>
      <c r="N76" s="1" t="s">
        <v>92</v>
      </c>
      <c r="O76" s="1">
        <v>14737742</v>
      </c>
      <c r="P76" s="1">
        <v>18244000</v>
      </c>
      <c r="Q76" s="1">
        <v>19918000</v>
      </c>
      <c r="R76" s="1">
        <v>19933000</v>
      </c>
      <c r="S76" s="1">
        <v>17297000</v>
      </c>
      <c r="T76" s="1">
        <v>5207000</v>
      </c>
      <c r="U76" s="1">
        <v>29205000</v>
      </c>
      <c r="V76" s="1">
        <v>882000</v>
      </c>
      <c r="W76" s="1">
        <v>-1724000</v>
      </c>
      <c r="X76" s="1">
        <v>-60018000</v>
      </c>
      <c r="Y76" s="1">
        <v>147139000</v>
      </c>
    </row>
    <row r="77" spans="1:25" ht="19" x14ac:dyDescent="0.25">
      <c r="A77" s="5" t="s">
        <v>13</v>
      </c>
      <c r="B77" s="1" t="s">
        <v>92</v>
      </c>
      <c r="C77" s="1">
        <v>124803</v>
      </c>
      <c r="D77" s="1">
        <v>196499</v>
      </c>
      <c r="E77" s="1">
        <v>255502</v>
      </c>
      <c r="F77" s="1">
        <v>393568</v>
      </c>
      <c r="G77" s="1">
        <v>551793</v>
      </c>
      <c r="H77" s="1">
        <v>1712738</v>
      </c>
      <c r="I77" s="1">
        <v>2096595</v>
      </c>
      <c r="J77" s="1">
        <v>2521237</v>
      </c>
      <c r="K77" s="1">
        <v>2637773</v>
      </c>
      <c r="L77" s="1">
        <v>3634412</v>
      </c>
      <c r="M77" s="1">
        <v>7286915</v>
      </c>
      <c r="N77" s="1">
        <v>8096543</v>
      </c>
      <c r="O77" s="1">
        <v>6519250</v>
      </c>
      <c r="P77" s="1">
        <v>5131000</v>
      </c>
      <c r="Q77" s="1">
        <v>4317000</v>
      </c>
      <c r="R77" s="1">
        <v>3291000</v>
      </c>
      <c r="S77" s="1">
        <v>3658000</v>
      </c>
      <c r="T77" s="1">
        <v>8041000</v>
      </c>
      <c r="U77" s="1">
        <v>10615000</v>
      </c>
      <c r="V77" s="1">
        <v>11361000</v>
      </c>
      <c r="W77" s="1">
        <v>12475000</v>
      </c>
      <c r="X77" s="1">
        <v>18694000</v>
      </c>
      <c r="Y77" s="1">
        <v>24381000</v>
      </c>
    </row>
    <row r="78" spans="1:25" ht="19" x14ac:dyDescent="0.25">
      <c r="A78" s="5" t="s">
        <v>67</v>
      </c>
      <c r="B78" s="1" t="s">
        <v>92</v>
      </c>
      <c r="C78" s="1" t="s">
        <v>92</v>
      </c>
      <c r="D78" s="1" t="s">
        <v>92</v>
      </c>
      <c r="E78" s="1">
        <v>-41329</v>
      </c>
      <c r="F78" s="1">
        <v>-1014217</v>
      </c>
      <c r="G78" s="1">
        <v>727892</v>
      </c>
      <c r="H78" s="1">
        <v>-521552</v>
      </c>
      <c r="I78" s="1">
        <v>-1167924</v>
      </c>
      <c r="J78" s="1">
        <v>6931856</v>
      </c>
      <c r="K78" s="1">
        <v>2060623</v>
      </c>
      <c r="L78" s="1">
        <v>-1188157</v>
      </c>
      <c r="M78" s="1">
        <v>-1088377</v>
      </c>
      <c r="N78" s="1">
        <v>-2490684</v>
      </c>
      <c r="O78" s="1">
        <v>2603796</v>
      </c>
      <c r="P78" s="1">
        <v>-5957000</v>
      </c>
      <c r="Q78" s="1">
        <v>-4185000</v>
      </c>
      <c r="R78" s="1">
        <v>-6098000</v>
      </c>
      <c r="S78" s="1">
        <v>-6023000</v>
      </c>
      <c r="T78" s="1">
        <v>2639000</v>
      </c>
      <c r="U78" s="1">
        <v>-2448000</v>
      </c>
      <c r="V78" s="1">
        <v>-7004000</v>
      </c>
      <c r="W78" s="1">
        <v>-15857000</v>
      </c>
      <c r="X78" s="1">
        <v>-82009000</v>
      </c>
      <c r="Y78" s="1">
        <v>22090000</v>
      </c>
    </row>
    <row r="79" spans="1:25" ht="19" x14ac:dyDescent="0.25">
      <c r="A79" s="5" t="s">
        <v>68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>
        <v>4988837</v>
      </c>
      <c r="M79" s="1">
        <v>3682675</v>
      </c>
      <c r="N79" s="1">
        <v>3038300</v>
      </c>
      <c r="O79" s="1">
        <v>3421506</v>
      </c>
      <c r="P79" s="1">
        <v>4340000</v>
      </c>
      <c r="Q79" s="1">
        <v>5579000</v>
      </c>
      <c r="R79" s="1">
        <v>7263000</v>
      </c>
      <c r="S79" s="1">
        <v>9369000</v>
      </c>
      <c r="T79" s="1">
        <v>15610000</v>
      </c>
      <c r="U79" s="1">
        <v>21879000</v>
      </c>
      <c r="V79" s="1">
        <v>78495000</v>
      </c>
      <c r="W79" s="1">
        <v>133572000</v>
      </c>
      <c r="X79" s="1">
        <v>303331000</v>
      </c>
      <c r="Y79" s="1">
        <v>106176000</v>
      </c>
    </row>
    <row r="80" spans="1:25" ht="19" x14ac:dyDescent="0.25">
      <c r="A80" s="14" t="s">
        <v>104</v>
      </c>
      <c r="B80" s="15" t="e">
        <f t="shared" ref="B80:Y80" si="12">B79/B3</f>
        <v>#VALUE!</v>
      </c>
      <c r="C80" s="15" t="e">
        <f t="shared" si="12"/>
        <v>#VALUE!</v>
      </c>
      <c r="D80" s="15" t="e">
        <f t="shared" si="12"/>
        <v>#VALUE!</v>
      </c>
      <c r="E80" s="15" t="e">
        <f t="shared" si="12"/>
        <v>#VALUE!</v>
      </c>
      <c r="F80" s="15" t="e">
        <f t="shared" si="12"/>
        <v>#VALUE!</v>
      </c>
      <c r="G80" s="15" t="e">
        <f t="shared" si="12"/>
        <v>#VALUE!</v>
      </c>
      <c r="H80" s="15" t="e">
        <f t="shared" si="12"/>
        <v>#VALUE!</v>
      </c>
      <c r="I80" s="15" t="e">
        <f t="shared" si="12"/>
        <v>#VALUE!</v>
      </c>
      <c r="J80" s="15" t="e">
        <f t="shared" si="12"/>
        <v>#VALUE!</v>
      </c>
      <c r="K80" s="15" t="e">
        <f t="shared" si="12"/>
        <v>#VALUE!</v>
      </c>
      <c r="L80" s="15">
        <f t="shared" si="12"/>
        <v>4.7853835472581895E-2</v>
      </c>
      <c r="M80" s="15">
        <f t="shared" si="12"/>
        <v>4.2363674164157261E-2</v>
      </c>
      <c r="N80" s="15">
        <f t="shared" si="12"/>
        <v>3.3748424627359434E-2</v>
      </c>
      <c r="O80" s="15">
        <f t="shared" si="12"/>
        <v>2.9816331718696618E-2</v>
      </c>
      <c r="P80" s="15">
        <f t="shared" si="12"/>
        <v>3.1487836553460394E-2</v>
      </c>
      <c r="Q80" s="15">
        <f t="shared" si="12"/>
        <v>3.3909740161069749E-2</v>
      </c>
      <c r="R80" s="15">
        <f t="shared" si="12"/>
        <v>3.6701837365835911E-2</v>
      </c>
      <c r="S80" s="15">
        <f t="shared" si="12"/>
        <v>3.4927025666834421E-2</v>
      </c>
      <c r="T80" s="15">
        <f t="shared" si="12"/>
        <v>4.5404568962006758E-2</v>
      </c>
      <c r="U80" s="15">
        <f t="shared" si="12"/>
        <v>5.208442442652142E-2</v>
      </c>
      <c r="V80" s="15">
        <f t="shared" si="12"/>
        <v>0.1478638435745771</v>
      </c>
      <c r="W80" s="15">
        <f t="shared" si="12"/>
        <v>0.19614010510966912</v>
      </c>
      <c r="X80" s="15">
        <f t="shared" si="12"/>
        <v>0.35132925093324963</v>
      </c>
      <c r="Y80" s="15">
        <f t="shared" si="12"/>
        <v>8.9228403232109316E-2</v>
      </c>
    </row>
    <row r="81" spans="1:33" ht="19" x14ac:dyDescent="0.25">
      <c r="A81" s="5" t="s">
        <v>69</v>
      </c>
      <c r="B81" s="1" t="s">
        <v>92</v>
      </c>
      <c r="C81" s="1">
        <v>356910</v>
      </c>
      <c r="D81" s="1">
        <v>-1418163</v>
      </c>
      <c r="E81" s="1">
        <v>-1524485</v>
      </c>
      <c r="F81" s="1">
        <v>-3936511</v>
      </c>
      <c r="G81" s="1">
        <v>-2650639</v>
      </c>
      <c r="H81" s="1">
        <v>-3824912</v>
      </c>
      <c r="I81" s="1">
        <v>9167739</v>
      </c>
      <c r="J81" s="1">
        <v>-13207893</v>
      </c>
      <c r="K81" s="1">
        <v>-4086758</v>
      </c>
      <c r="L81" s="1">
        <v>1078919</v>
      </c>
      <c r="M81" s="1">
        <v>-7021630</v>
      </c>
      <c r="N81" s="1">
        <v>2863765</v>
      </c>
      <c r="O81" s="1">
        <v>212749</v>
      </c>
      <c r="P81" s="1">
        <v>8618000</v>
      </c>
      <c r="Q81" s="1">
        <v>5919000</v>
      </c>
      <c r="R81" s="1">
        <v>20200000</v>
      </c>
      <c r="S81" s="1">
        <v>-8224000</v>
      </c>
      <c r="T81" s="1">
        <v>-14759000</v>
      </c>
      <c r="U81" s="1">
        <v>2170000</v>
      </c>
      <c r="V81" s="1">
        <v>-24598000</v>
      </c>
      <c r="W81" s="1">
        <v>-100778000</v>
      </c>
      <c r="X81" s="1">
        <v>-43283000</v>
      </c>
      <c r="Y81" s="1">
        <v>-64425000</v>
      </c>
    </row>
    <row r="82" spans="1:33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>
        <v>1326309</v>
      </c>
      <c r="M82" s="1">
        <v>1768134</v>
      </c>
      <c r="N82" s="1">
        <v>1463031</v>
      </c>
      <c r="O82" s="1">
        <v>-6078875</v>
      </c>
      <c r="P82" s="1">
        <v>-4411000</v>
      </c>
      <c r="Q82" s="1">
        <v>-8389000</v>
      </c>
      <c r="R82" s="1">
        <v>4244000</v>
      </c>
      <c r="S82" s="1">
        <v>-13297000</v>
      </c>
      <c r="T82" s="1">
        <v>-35305000</v>
      </c>
      <c r="U82" s="1">
        <v>-67643000</v>
      </c>
      <c r="V82" s="1" t="s">
        <v>92</v>
      </c>
      <c r="W82" s="1" t="s">
        <v>92</v>
      </c>
      <c r="X82" s="1" t="s">
        <v>92</v>
      </c>
      <c r="Y82" s="1" t="s">
        <v>92</v>
      </c>
    </row>
    <row r="83" spans="1:33" ht="21" x14ac:dyDescent="0.25">
      <c r="A83" s="5" t="s">
        <v>34</v>
      </c>
      <c r="B83" s="1" t="s">
        <v>92</v>
      </c>
      <c r="C83" s="1">
        <v>-63002</v>
      </c>
      <c r="D83" s="1">
        <v>-580757</v>
      </c>
      <c r="E83" s="1">
        <v>-1532883</v>
      </c>
      <c r="F83" s="1">
        <v>-791165</v>
      </c>
      <c r="G83" s="1">
        <v>-3714077</v>
      </c>
      <c r="H83" s="1">
        <v>-3560339</v>
      </c>
      <c r="I83" s="1">
        <v>762261</v>
      </c>
      <c r="J83" s="1">
        <v>-4455393</v>
      </c>
      <c r="K83" s="1">
        <v>-600968</v>
      </c>
      <c r="L83" s="1">
        <v>-2440616</v>
      </c>
      <c r="M83" s="1">
        <v>-4007939</v>
      </c>
      <c r="N83" s="1">
        <v>1327801</v>
      </c>
      <c r="O83" s="1">
        <v>-62149</v>
      </c>
      <c r="P83" s="1">
        <v>-711000</v>
      </c>
      <c r="Q83" s="1">
        <v>-9371000</v>
      </c>
      <c r="R83" s="1">
        <v>3140000</v>
      </c>
      <c r="S83" s="1">
        <v>-18668000</v>
      </c>
      <c r="T83" s="1">
        <v>-11746000</v>
      </c>
      <c r="U83" s="1">
        <v>14804000</v>
      </c>
      <c r="V83" s="1">
        <v>-4903000</v>
      </c>
      <c r="W83" s="1">
        <v>-52156000</v>
      </c>
      <c r="X83" s="1">
        <v>-18272000</v>
      </c>
      <c r="Y83" s="1">
        <v>-95987000</v>
      </c>
      <c r="AF83" s="33" t="s">
        <v>126</v>
      </c>
      <c r="AG83" s="34"/>
    </row>
    <row r="84" spans="1:33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 t="s">
        <v>92</v>
      </c>
      <c r="N84" s="1" t="s">
        <v>92</v>
      </c>
      <c r="O84" s="1">
        <v>2724450</v>
      </c>
      <c r="P84" s="1">
        <v>5559000</v>
      </c>
      <c r="Q84" s="1">
        <v>9456000</v>
      </c>
      <c r="R84" s="1">
        <v>5868000</v>
      </c>
      <c r="S84" s="1">
        <v>17584000</v>
      </c>
      <c r="T84" s="1">
        <v>39000</v>
      </c>
      <c r="U84" s="1">
        <v>13506000</v>
      </c>
      <c r="V84" s="1">
        <v>4967000</v>
      </c>
      <c r="W84" s="1">
        <v>8886000</v>
      </c>
      <c r="X84" s="1">
        <v>45301000</v>
      </c>
      <c r="Y84" s="1">
        <v>80757000</v>
      </c>
      <c r="AF84" s="35" t="s">
        <v>127</v>
      </c>
      <c r="AG84" s="36"/>
    </row>
    <row r="85" spans="1:33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>
        <v>199999</v>
      </c>
      <c r="J85" s="1">
        <v>-104763</v>
      </c>
      <c r="K85" s="1">
        <v>2115699</v>
      </c>
      <c r="L85" s="1" t="s">
        <v>92</v>
      </c>
      <c r="M85" s="1" t="s">
        <v>92</v>
      </c>
      <c r="N85" s="1">
        <v>296422</v>
      </c>
      <c r="O85" s="1">
        <v>4255234</v>
      </c>
      <c r="P85" s="1">
        <v>8750000</v>
      </c>
      <c r="Q85" s="1">
        <v>15303000</v>
      </c>
      <c r="R85" s="1">
        <v>15527000</v>
      </c>
      <c r="S85" s="1">
        <v>35226000</v>
      </c>
      <c r="T85" s="1">
        <v>41260000</v>
      </c>
      <c r="U85" s="1">
        <v>54242000</v>
      </c>
      <c r="V85" s="1">
        <v>24013000</v>
      </c>
      <c r="W85" s="1">
        <v>65139000</v>
      </c>
      <c r="X85" s="1">
        <v>175615000</v>
      </c>
      <c r="Y85" s="1" t="s">
        <v>92</v>
      </c>
      <c r="AF85" s="23" t="s">
        <v>128</v>
      </c>
      <c r="AG85" s="24">
        <f>Y17</f>
        <v>103265000</v>
      </c>
    </row>
    <row r="86" spans="1:33" ht="20" x14ac:dyDescent="0.25">
      <c r="A86" s="5" t="s">
        <v>72</v>
      </c>
      <c r="B86" s="1" t="s">
        <v>92</v>
      </c>
      <c r="C86" s="1" t="s">
        <v>92</v>
      </c>
      <c r="D86" s="1">
        <v>151749</v>
      </c>
      <c r="E86" s="1">
        <v>266900</v>
      </c>
      <c r="F86" s="1">
        <v>4470016</v>
      </c>
      <c r="G86" s="1">
        <v>12550326</v>
      </c>
      <c r="H86" s="1">
        <v>2638573</v>
      </c>
      <c r="I86" s="1">
        <v>1473091</v>
      </c>
      <c r="J86" s="1">
        <v>2651157</v>
      </c>
      <c r="K86" s="1">
        <v>3869328</v>
      </c>
      <c r="L86" s="1">
        <v>1604381</v>
      </c>
      <c r="M86" s="1">
        <v>2256377</v>
      </c>
      <c r="N86" s="1">
        <v>5757841</v>
      </c>
      <c r="O86" s="1">
        <v>-977830</v>
      </c>
      <c r="P86" s="1">
        <v>2050000</v>
      </c>
      <c r="Q86" s="1">
        <v>3884000</v>
      </c>
      <c r="R86" s="1">
        <v>1856000</v>
      </c>
      <c r="S86" s="1">
        <v>1848000</v>
      </c>
      <c r="T86" s="1">
        <v>1752000</v>
      </c>
      <c r="U86" s="1">
        <v>2454000</v>
      </c>
      <c r="V86" s="1">
        <v>6537000</v>
      </c>
      <c r="W86" s="1">
        <v>10793000</v>
      </c>
      <c r="X86" s="1">
        <v>-12221000</v>
      </c>
      <c r="Y86" s="1" t="s">
        <v>92</v>
      </c>
      <c r="AF86" s="23" t="s">
        <v>129</v>
      </c>
      <c r="AG86" s="24">
        <f>Y56</f>
        <v>0</v>
      </c>
    </row>
    <row r="87" spans="1:33" ht="20" x14ac:dyDescent="0.25">
      <c r="A87" s="6" t="s">
        <v>73</v>
      </c>
      <c r="B87" s="10" t="s">
        <v>92</v>
      </c>
      <c r="C87" s="10">
        <v>8466</v>
      </c>
      <c r="D87" s="10">
        <v>-554886</v>
      </c>
      <c r="E87" s="10">
        <v>-834509</v>
      </c>
      <c r="F87" s="10">
        <v>4366546</v>
      </c>
      <c r="G87" s="10">
        <v>30304180</v>
      </c>
      <c r="H87" s="10">
        <v>1067704</v>
      </c>
      <c r="I87" s="10">
        <v>7481822</v>
      </c>
      <c r="J87" s="10">
        <v>13922833</v>
      </c>
      <c r="K87" s="10">
        <v>8118007</v>
      </c>
      <c r="L87" s="10">
        <v>10117286</v>
      </c>
      <c r="M87" s="10">
        <v>731525</v>
      </c>
      <c r="N87" s="10">
        <v>17265765</v>
      </c>
      <c r="O87" s="10">
        <v>26517213</v>
      </c>
      <c r="P87" s="10">
        <v>32426000</v>
      </c>
      <c r="Q87" s="10">
        <v>35432000</v>
      </c>
      <c r="R87" s="10">
        <v>46445000</v>
      </c>
      <c r="S87" s="10">
        <v>17925000</v>
      </c>
      <c r="T87" s="10">
        <v>18490000</v>
      </c>
      <c r="U87" s="10">
        <v>63875000</v>
      </c>
      <c r="V87" s="10">
        <v>65673000</v>
      </c>
      <c r="W87" s="10">
        <v>38481000</v>
      </c>
      <c r="X87" s="10">
        <v>124494000</v>
      </c>
      <c r="Y87" s="10">
        <v>235361000</v>
      </c>
      <c r="AF87" s="23" t="s">
        <v>130</v>
      </c>
      <c r="AG87" s="24">
        <f>Y61</f>
        <v>711110000</v>
      </c>
    </row>
    <row r="88" spans="1:33" ht="20" x14ac:dyDescent="0.25">
      <c r="A88" s="5" t="s">
        <v>74</v>
      </c>
      <c r="B88" s="1" t="s">
        <v>92</v>
      </c>
      <c r="C88" s="1">
        <v>-99759</v>
      </c>
      <c r="D88" s="1">
        <v>-368140</v>
      </c>
      <c r="E88" s="1">
        <v>-377992</v>
      </c>
      <c r="F88" s="1">
        <v>-3651110</v>
      </c>
      <c r="G88" s="1">
        <v>-11322299</v>
      </c>
      <c r="H88" s="1">
        <v>-7812220</v>
      </c>
      <c r="I88" s="1">
        <v>-2069190</v>
      </c>
      <c r="J88" s="1">
        <v>-4521982</v>
      </c>
      <c r="K88" s="1">
        <v>-6890047</v>
      </c>
      <c r="L88" s="1">
        <v>-13708177</v>
      </c>
      <c r="M88" s="1">
        <v>-4023691</v>
      </c>
      <c r="N88" s="1">
        <v>-1854083</v>
      </c>
      <c r="O88" s="1">
        <v>-1333986</v>
      </c>
      <c r="P88" s="1">
        <v>-1783000</v>
      </c>
      <c r="Q88" s="1">
        <v>-2505000</v>
      </c>
      <c r="R88" s="1">
        <v>-6003000</v>
      </c>
      <c r="S88" s="1">
        <v>-4957000</v>
      </c>
      <c r="T88" s="1">
        <v>-10419000</v>
      </c>
      <c r="U88" s="1">
        <v>-11139000</v>
      </c>
      <c r="V88" s="1">
        <v>-15939000</v>
      </c>
      <c r="W88" s="1">
        <v>-72629000</v>
      </c>
      <c r="X88" s="1">
        <v>-49886000</v>
      </c>
      <c r="Y88" s="1">
        <v>-55802000</v>
      </c>
      <c r="AF88" s="37" t="s">
        <v>131</v>
      </c>
      <c r="AG88" s="38">
        <f>AG85/(AG86+AG87)</f>
        <v>0.14521663315098929</v>
      </c>
    </row>
    <row r="89" spans="1:33" ht="20" customHeight="1" x14ac:dyDescent="0.25">
      <c r="A89" s="14" t="s">
        <v>105</v>
      </c>
      <c r="B89" s="15" t="e">
        <f t="shared" ref="B89:Y89" si="13">(-1*B88)/B3</f>
        <v>#VALUE!</v>
      </c>
      <c r="C89" s="15">
        <f t="shared" si="13"/>
        <v>2.9232378641630183E-2</v>
      </c>
      <c r="D89" s="15">
        <f t="shared" si="13"/>
        <v>5.3717406809477286E-2</v>
      </c>
      <c r="E89" s="15">
        <f t="shared" si="13"/>
        <v>3.8402983223129003E-2</v>
      </c>
      <c r="F89" s="15">
        <f t="shared" si="13"/>
        <v>0.14929603174025513</v>
      </c>
      <c r="G89" s="15">
        <f t="shared" si="13"/>
        <v>0.16739088193815368</v>
      </c>
      <c r="H89" s="15">
        <f t="shared" si="13"/>
        <v>0.16379817906926633</v>
      </c>
      <c r="I89" s="15">
        <f t="shared" si="13"/>
        <v>3.05560493938297E-2</v>
      </c>
      <c r="J89" s="15">
        <f t="shared" si="13"/>
        <v>4.4893359529900916E-2</v>
      </c>
      <c r="K89" s="15">
        <f t="shared" si="13"/>
        <v>7.4209818915275255E-2</v>
      </c>
      <c r="L89" s="15">
        <f t="shared" si="13"/>
        <v>0.13149133691620538</v>
      </c>
      <c r="M89" s="15">
        <f t="shared" si="13"/>
        <v>4.6286553785292513E-2</v>
      </c>
      <c r="N89" s="15">
        <f t="shared" si="13"/>
        <v>2.0594536542924813E-2</v>
      </c>
      <c r="O89" s="15">
        <f t="shared" si="13"/>
        <v>1.1624871937707322E-2</v>
      </c>
      <c r="P89" s="15">
        <f t="shared" si="13"/>
        <v>1.2936131929682002E-2</v>
      </c>
      <c r="Q89" s="15">
        <f t="shared" si="13"/>
        <v>1.5225649597325634E-2</v>
      </c>
      <c r="R89" s="15">
        <f t="shared" si="13"/>
        <v>3.0334728033472803E-2</v>
      </c>
      <c r="S89" s="15">
        <f t="shared" si="13"/>
        <v>1.8479375198046561E-2</v>
      </c>
      <c r="T89" s="15">
        <f t="shared" si="13"/>
        <v>3.0305586419932636E-2</v>
      </c>
      <c r="U89" s="15">
        <f t="shared" si="13"/>
        <v>2.6517135320948036E-2</v>
      </c>
      <c r="V89" s="15">
        <f t="shared" si="13"/>
        <v>3.0024865312888522E-2</v>
      </c>
      <c r="W89" s="15">
        <f t="shared" si="13"/>
        <v>0.10665004412609048</v>
      </c>
      <c r="X89" s="15">
        <f t="shared" si="13"/>
        <v>5.7779821422987071E-2</v>
      </c>
      <c r="Y89" s="15">
        <f t="shared" si="13"/>
        <v>4.6894998466302781E-2</v>
      </c>
      <c r="AF89" s="23" t="s">
        <v>106</v>
      </c>
      <c r="AG89" s="24">
        <f>Y27</f>
        <v>49379000</v>
      </c>
    </row>
    <row r="90" spans="1:33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 t="s">
        <v>92</v>
      </c>
      <c r="G90" s="1" t="s">
        <v>92</v>
      </c>
      <c r="H90" s="1" t="s">
        <v>92</v>
      </c>
      <c r="I90" s="1" t="s">
        <v>92</v>
      </c>
      <c r="J90" s="1" t="s">
        <v>92</v>
      </c>
      <c r="K90" s="1" t="s">
        <v>92</v>
      </c>
      <c r="L90" s="1" t="s">
        <v>92</v>
      </c>
      <c r="M90" s="1" t="s">
        <v>92</v>
      </c>
      <c r="N90" s="1" t="s">
        <v>92</v>
      </c>
      <c r="O90" s="1" t="s">
        <v>92</v>
      </c>
      <c r="P90" s="1">
        <v>-1258000</v>
      </c>
      <c r="Q90" s="1" t="s">
        <v>92</v>
      </c>
      <c r="R90" s="1">
        <v>-11186000</v>
      </c>
      <c r="S90" s="1">
        <v>-3500000</v>
      </c>
      <c r="T90" s="1">
        <v>-10629000</v>
      </c>
      <c r="U90" s="1">
        <v>-4990000</v>
      </c>
      <c r="V90" s="1" t="s">
        <v>92</v>
      </c>
      <c r="W90" s="1">
        <v>-7068000</v>
      </c>
      <c r="X90" s="1">
        <v>-22393000</v>
      </c>
      <c r="Y90" s="1">
        <v>-2104000</v>
      </c>
      <c r="AF90" s="23" t="s">
        <v>19</v>
      </c>
      <c r="AG90" s="24">
        <f>Y25</f>
        <v>196518000</v>
      </c>
    </row>
    <row r="91" spans="1:33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 t="s">
        <v>92</v>
      </c>
      <c r="F91" s="1" t="s">
        <v>92</v>
      </c>
      <c r="G91" s="1">
        <v>-35273292</v>
      </c>
      <c r="H91" s="1">
        <v>-87829476</v>
      </c>
      <c r="I91" s="1">
        <v>-82610518</v>
      </c>
      <c r="J91" s="1">
        <v>-138203034</v>
      </c>
      <c r="K91" s="1">
        <v>-43887640</v>
      </c>
      <c r="L91" s="1" t="s">
        <v>92</v>
      </c>
      <c r="M91" s="1" t="s">
        <v>92</v>
      </c>
      <c r="N91" s="1">
        <v>-11479493</v>
      </c>
      <c r="O91" s="1">
        <v>-6242031</v>
      </c>
      <c r="P91" s="1">
        <v>-29112000</v>
      </c>
      <c r="Q91" s="1">
        <v>-32900000</v>
      </c>
      <c r="R91" s="1">
        <v>-62464000</v>
      </c>
      <c r="S91" s="1">
        <v>-56086000</v>
      </c>
      <c r="T91" s="1">
        <v>-19950000</v>
      </c>
      <c r="U91" s="1">
        <v>-4331000</v>
      </c>
      <c r="V91" s="1">
        <v>-354477000</v>
      </c>
      <c r="W91" s="1">
        <v>-656522000</v>
      </c>
      <c r="X91" s="1">
        <v>-407979000</v>
      </c>
      <c r="Y91" s="1">
        <v>-863317000</v>
      </c>
      <c r="AF91" s="37" t="s">
        <v>132</v>
      </c>
      <c r="AG91" s="38">
        <f>AG89/AG90</f>
        <v>0.25126960380219626</v>
      </c>
    </row>
    <row r="92" spans="1:33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 t="s">
        <v>92</v>
      </c>
      <c r="F92" s="1" t="s">
        <v>92</v>
      </c>
      <c r="G92" s="1" t="s">
        <v>92</v>
      </c>
      <c r="H92" s="1">
        <v>95554648</v>
      </c>
      <c r="I92" s="1">
        <v>81123775</v>
      </c>
      <c r="J92" s="1">
        <v>155730252</v>
      </c>
      <c r="K92" s="1">
        <v>58895113</v>
      </c>
      <c r="L92" s="1">
        <v>2500000</v>
      </c>
      <c r="M92" s="1" t="s">
        <v>92</v>
      </c>
      <c r="N92" s="1">
        <v>6000000</v>
      </c>
      <c r="O92" s="1">
        <v>9640544</v>
      </c>
      <c r="P92" s="1">
        <v>9380000</v>
      </c>
      <c r="Q92" s="1">
        <v>10997000</v>
      </c>
      <c r="R92" s="1">
        <v>44105000</v>
      </c>
      <c r="S92" s="1">
        <v>64951000</v>
      </c>
      <c r="T92" s="1">
        <v>61080000</v>
      </c>
      <c r="U92" s="1">
        <v>11158000</v>
      </c>
      <c r="V92" s="1">
        <v>130083000</v>
      </c>
      <c r="W92" s="1">
        <v>379839000</v>
      </c>
      <c r="X92" s="1">
        <v>733163000</v>
      </c>
      <c r="Y92" s="1">
        <v>72138000</v>
      </c>
      <c r="AF92" s="39" t="s">
        <v>133</v>
      </c>
      <c r="AG92" s="40">
        <f>AG88*(1-AG91)</f>
        <v>0.10872810727365134</v>
      </c>
    </row>
    <row r="93" spans="1:33" ht="19" x14ac:dyDescent="0.25">
      <c r="A93" s="5" t="s">
        <v>78</v>
      </c>
      <c r="B93" s="1" t="s">
        <v>92</v>
      </c>
      <c r="C93" s="1" t="s">
        <v>92</v>
      </c>
      <c r="D93" s="1">
        <v>-85000</v>
      </c>
      <c r="E93" s="1">
        <v>-8645</v>
      </c>
      <c r="F93" s="1">
        <v>-565110</v>
      </c>
      <c r="G93" s="1">
        <v>-195397</v>
      </c>
      <c r="H93" s="1">
        <v>-104066</v>
      </c>
      <c r="I93" s="1" t="s">
        <v>92</v>
      </c>
      <c r="J93" s="1" t="s">
        <v>92</v>
      </c>
      <c r="K93" s="1" t="s">
        <v>92</v>
      </c>
      <c r="L93" s="1">
        <v>-471698</v>
      </c>
      <c r="M93" s="1">
        <v>-448011</v>
      </c>
      <c r="N93" s="1">
        <v>-264066</v>
      </c>
      <c r="O93" s="1">
        <v>-383472</v>
      </c>
      <c r="P93" s="1">
        <v>-289000</v>
      </c>
      <c r="Q93" s="1">
        <v>-173000</v>
      </c>
      <c r="R93" s="1">
        <v>-461000</v>
      </c>
      <c r="S93" s="1">
        <v>-3453000</v>
      </c>
      <c r="T93" s="1">
        <v>-1000000</v>
      </c>
      <c r="U93" s="1">
        <v>-558000</v>
      </c>
      <c r="V93" s="1">
        <v>-404000</v>
      </c>
      <c r="W93" s="1">
        <v>-146000</v>
      </c>
      <c r="X93" s="1">
        <v>-349000</v>
      </c>
      <c r="Y93" s="1">
        <v>18118000</v>
      </c>
      <c r="AF93" s="35" t="s">
        <v>134</v>
      </c>
      <c r="AG93" s="36"/>
    </row>
    <row r="94" spans="1:33" ht="20" x14ac:dyDescent="0.25">
      <c r="A94" s="6" t="s">
        <v>79</v>
      </c>
      <c r="B94" s="10" t="s">
        <v>92</v>
      </c>
      <c r="C94" s="10">
        <v>-99759</v>
      </c>
      <c r="D94" s="10">
        <v>-453140</v>
      </c>
      <c r="E94" s="10">
        <v>-386637</v>
      </c>
      <c r="F94" s="10">
        <v>-4216220</v>
      </c>
      <c r="G94" s="10">
        <v>-46790988</v>
      </c>
      <c r="H94" s="10">
        <v>-191114</v>
      </c>
      <c r="I94" s="10">
        <v>-3555933</v>
      </c>
      <c r="J94" s="10">
        <v>13005236</v>
      </c>
      <c r="K94" s="10">
        <v>8117426</v>
      </c>
      <c r="L94" s="10">
        <v>-11679875</v>
      </c>
      <c r="M94" s="10">
        <v>-4471702</v>
      </c>
      <c r="N94" s="10">
        <v>-7597642</v>
      </c>
      <c r="O94" s="10">
        <v>1681055</v>
      </c>
      <c r="P94" s="10">
        <v>-23062000</v>
      </c>
      <c r="Q94" s="10">
        <v>-24581000</v>
      </c>
      <c r="R94" s="10">
        <v>-36009000</v>
      </c>
      <c r="S94" s="10">
        <v>-3045000</v>
      </c>
      <c r="T94" s="10">
        <v>19082000</v>
      </c>
      <c r="U94" s="10">
        <v>-9860000</v>
      </c>
      <c r="V94" s="10">
        <v>-240737000</v>
      </c>
      <c r="W94" s="10">
        <v>-356526000</v>
      </c>
      <c r="X94" s="10">
        <v>252556000</v>
      </c>
      <c r="Y94" s="10">
        <v>-830967000</v>
      </c>
      <c r="AF94" s="23" t="s">
        <v>135</v>
      </c>
      <c r="AG94" s="41">
        <v>4.095E-2</v>
      </c>
    </row>
    <row r="95" spans="1:33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>
        <v>-9736</v>
      </c>
      <c r="P95" s="1">
        <v>-34000</v>
      </c>
      <c r="Q95" s="1">
        <v>-36000</v>
      </c>
      <c r="R95" s="1">
        <v>-80000</v>
      </c>
      <c r="S95" s="1">
        <v>-107000</v>
      </c>
      <c r="T95" s="1">
        <v>-34000</v>
      </c>
      <c r="U95" s="1" t="s">
        <v>92</v>
      </c>
      <c r="V95" s="1" t="s">
        <v>92</v>
      </c>
      <c r="W95" s="1" t="s">
        <v>92</v>
      </c>
      <c r="X95" s="1" t="s">
        <v>92</v>
      </c>
      <c r="Y95" s="1" t="s">
        <v>92</v>
      </c>
      <c r="AF95" s="42" t="s">
        <v>136</v>
      </c>
      <c r="AG95" s="43">
        <v>0.92</v>
      </c>
    </row>
    <row r="96" spans="1:33" ht="20" x14ac:dyDescent="0.25">
      <c r="A96" s="5" t="s">
        <v>81</v>
      </c>
      <c r="B96" s="1" t="s">
        <v>92</v>
      </c>
      <c r="C96" s="1">
        <v>187744</v>
      </c>
      <c r="D96" s="1">
        <v>8397500</v>
      </c>
      <c r="E96" s="1">
        <v>43421</v>
      </c>
      <c r="F96" s="1">
        <v>1819570</v>
      </c>
      <c r="G96" s="1">
        <v>15629877</v>
      </c>
      <c r="H96" s="1">
        <v>749503</v>
      </c>
      <c r="I96" s="1">
        <v>747955</v>
      </c>
      <c r="J96" s="1">
        <v>3143769</v>
      </c>
      <c r="K96" s="1">
        <v>342821</v>
      </c>
      <c r="L96" s="1" t="s">
        <v>92</v>
      </c>
      <c r="M96" s="1" t="s">
        <v>92</v>
      </c>
      <c r="N96" s="1" t="s">
        <v>92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>
        <v>233993000</v>
      </c>
      <c r="V96" s="1" t="s">
        <v>92</v>
      </c>
      <c r="W96" s="1">
        <v>306779000</v>
      </c>
      <c r="X96" s="1">
        <v>105514000</v>
      </c>
      <c r="Y96" s="1" t="s">
        <v>92</v>
      </c>
      <c r="AF96" s="23" t="s">
        <v>137</v>
      </c>
      <c r="AG96" s="41">
        <v>8.4000000000000005E-2</v>
      </c>
    </row>
    <row r="97" spans="1:33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 t="s">
        <v>92</v>
      </c>
      <c r="I97" s="1">
        <v>-2208957</v>
      </c>
      <c r="J97" s="1" t="s">
        <v>92</v>
      </c>
      <c r="K97" s="1">
        <v>-12499280</v>
      </c>
      <c r="L97" s="1" t="s">
        <v>92</v>
      </c>
      <c r="M97" s="1" t="s">
        <v>92</v>
      </c>
      <c r="N97" s="1">
        <v>-32498856</v>
      </c>
      <c r="O97" s="1">
        <v>-19995950</v>
      </c>
      <c r="P97" s="1">
        <v>-25000000</v>
      </c>
      <c r="Q97" s="1">
        <v>-22442000</v>
      </c>
      <c r="R97" s="1">
        <v>-7556000</v>
      </c>
      <c r="S97" s="1">
        <v>-33746000</v>
      </c>
      <c r="T97" s="1" t="s">
        <v>92</v>
      </c>
      <c r="U97" s="1" t="s">
        <v>92</v>
      </c>
      <c r="V97" s="1" t="s">
        <v>92</v>
      </c>
      <c r="W97" s="1" t="s">
        <v>92</v>
      </c>
      <c r="X97" s="1" t="s">
        <v>92</v>
      </c>
      <c r="Y97" s="1" t="s">
        <v>92</v>
      </c>
      <c r="AF97" s="39" t="s">
        <v>138</v>
      </c>
      <c r="AG97" s="40">
        <f>(AG94)+((AG95)*(AG96-AG94))</f>
        <v>8.0556000000000016E-2</v>
      </c>
    </row>
    <row r="98" spans="1:33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 t="s">
        <v>92</v>
      </c>
      <c r="Q98" s="1" t="s">
        <v>92</v>
      </c>
      <c r="R98" s="1" t="s">
        <v>92</v>
      </c>
      <c r="S98" s="1" t="s">
        <v>92</v>
      </c>
      <c r="T98" s="1" t="s">
        <v>92</v>
      </c>
      <c r="U98" s="1" t="s">
        <v>92</v>
      </c>
      <c r="V98" s="1" t="s">
        <v>92</v>
      </c>
      <c r="W98" s="1" t="s">
        <v>92</v>
      </c>
      <c r="X98" s="1" t="s">
        <v>92</v>
      </c>
      <c r="Y98" s="1" t="s">
        <v>92</v>
      </c>
      <c r="AF98" s="35" t="s">
        <v>139</v>
      </c>
      <c r="AG98" s="36"/>
    </row>
    <row r="99" spans="1:33" ht="20" x14ac:dyDescent="0.25">
      <c r="A99" s="5" t="s">
        <v>84</v>
      </c>
      <c r="B99" s="1" t="s">
        <v>92</v>
      </c>
      <c r="C99" s="1">
        <v>55052</v>
      </c>
      <c r="D99" s="1">
        <v>-1959782</v>
      </c>
      <c r="E99" s="1">
        <v>-881438</v>
      </c>
      <c r="F99" s="1">
        <v>10331493</v>
      </c>
      <c r="G99" s="1">
        <v>-264236</v>
      </c>
      <c r="H99" s="1">
        <v>-31343</v>
      </c>
      <c r="I99" s="1">
        <v>-43111</v>
      </c>
      <c r="J99" s="1">
        <v>-45236</v>
      </c>
      <c r="K99" s="1" t="s">
        <v>92</v>
      </c>
      <c r="L99" s="1">
        <v>187203</v>
      </c>
      <c r="M99" s="1">
        <v>929393</v>
      </c>
      <c r="N99" s="1">
        <v>1437246</v>
      </c>
      <c r="O99" s="1">
        <v>6642270</v>
      </c>
      <c r="P99" s="1">
        <v>21845000</v>
      </c>
      <c r="Q99" s="1">
        <v>17638000</v>
      </c>
      <c r="R99" s="1">
        <v>8239000</v>
      </c>
      <c r="S99" s="1">
        <v>-808000</v>
      </c>
      <c r="T99" s="1">
        <v>-3820000</v>
      </c>
      <c r="U99" s="1">
        <v>-14645000</v>
      </c>
      <c r="V99" s="1">
        <v>-3937000</v>
      </c>
      <c r="W99" s="1">
        <v>-7514000</v>
      </c>
      <c r="X99" s="1">
        <v>-279695000</v>
      </c>
      <c r="Y99" s="1">
        <v>598100000</v>
      </c>
      <c r="AF99" s="23" t="s">
        <v>140</v>
      </c>
      <c r="AG99" s="24">
        <f>AG86+AG87</f>
        <v>711110000</v>
      </c>
    </row>
    <row r="100" spans="1:33" ht="20" x14ac:dyDescent="0.25">
      <c r="A100" s="6" t="s">
        <v>85</v>
      </c>
      <c r="B100" s="10" t="s">
        <v>92</v>
      </c>
      <c r="C100" s="10">
        <v>242796</v>
      </c>
      <c r="D100" s="10">
        <v>6437718</v>
      </c>
      <c r="E100" s="10">
        <v>-838017</v>
      </c>
      <c r="F100" s="10">
        <v>12151063</v>
      </c>
      <c r="G100" s="10">
        <v>15365641</v>
      </c>
      <c r="H100" s="10">
        <v>718160</v>
      </c>
      <c r="I100" s="10">
        <v>-1504113</v>
      </c>
      <c r="J100" s="10">
        <v>3098533</v>
      </c>
      <c r="K100" s="10">
        <v>-12156459</v>
      </c>
      <c r="L100" s="10">
        <v>187203</v>
      </c>
      <c r="M100" s="10">
        <v>929393</v>
      </c>
      <c r="N100" s="10">
        <v>-31061610</v>
      </c>
      <c r="O100" s="10">
        <v>-13363416</v>
      </c>
      <c r="P100" s="10">
        <v>-3189000</v>
      </c>
      <c r="Q100" s="10">
        <v>-4840000</v>
      </c>
      <c r="R100" s="10">
        <v>603000</v>
      </c>
      <c r="S100" s="10">
        <v>-34661000</v>
      </c>
      <c r="T100" s="10">
        <v>-3854000</v>
      </c>
      <c r="U100" s="10">
        <v>219348000</v>
      </c>
      <c r="V100" s="10">
        <v>-3937000</v>
      </c>
      <c r="W100" s="10">
        <v>299265000</v>
      </c>
      <c r="X100" s="10">
        <v>-174181000</v>
      </c>
      <c r="Y100" s="10">
        <v>598100000</v>
      </c>
      <c r="AF100" s="37" t="s">
        <v>141</v>
      </c>
      <c r="AG100" s="38">
        <f>AG99/AG103</f>
        <v>4.3901520787179016E-2</v>
      </c>
    </row>
    <row r="101" spans="1:33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>
        <v>-10024</v>
      </c>
      <c r="N101" s="1">
        <v>9979</v>
      </c>
      <c r="O101" s="1">
        <v>-8794</v>
      </c>
      <c r="P101" s="1">
        <v>-31000</v>
      </c>
      <c r="Q101" s="1">
        <v>85000</v>
      </c>
      <c r="R101" s="1">
        <v>120000</v>
      </c>
      <c r="S101" s="1">
        <v>906000</v>
      </c>
      <c r="T101" s="1">
        <v>736000</v>
      </c>
      <c r="U101" s="1">
        <v>-774000</v>
      </c>
      <c r="V101" s="1">
        <v>329000</v>
      </c>
      <c r="W101" s="1">
        <v>1976000</v>
      </c>
      <c r="X101" s="1">
        <v>-1982000</v>
      </c>
      <c r="Y101" s="1">
        <v>-3380000</v>
      </c>
      <c r="AF101" s="23" t="s">
        <v>142</v>
      </c>
      <c r="AG101" s="58">
        <f>AA116*Y34</f>
        <v>15486734340</v>
      </c>
    </row>
    <row r="102" spans="1:33" ht="20" x14ac:dyDescent="0.25">
      <c r="A102" s="6" t="s">
        <v>87</v>
      </c>
      <c r="B102" s="10" t="s">
        <v>92</v>
      </c>
      <c r="C102" s="10">
        <v>151503</v>
      </c>
      <c r="D102" s="10">
        <v>5429692</v>
      </c>
      <c r="E102" s="10">
        <v>-2059163</v>
      </c>
      <c r="F102" s="10">
        <v>12301389</v>
      </c>
      <c r="G102" s="10">
        <v>-1121167</v>
      </c>
      <c r="H102" s="10">
        <v>1594750</v>
      </c>
      <c r="I102" s="10">
        <v>2421776</v>
      </c>
      <c r="J102" s="10">
        <v>30026602</v>
      </c>
      <c r="K102" s="10">
        <v>4078974</v>
      </c>
      <c r="L102" s="10">
        <v>-1375386</v>
      </c>
      <c r="M102" s="10">
        <v>-2820808</v>
      </c>
      <c r="N102" s="10">
        <v>-21383508</v>
      </c>
      <c r="O102" s="10">
        <v>14826058</v>
      </c>
      <c r="P102" s="10">
        <v>6144000</v>
      </c>
      <c r="Q102" s="10">
        <v>6096000</v>
      </c>
      <c r="R102" s="10">
        <v>11159000</v>
      </c>
      <c r="S102" s="10">
        <v>-18875000</v>
      </c>
      <c r="T102" s="10">
        <v>34454000</v>
      </c>
      <c r="U102" s="10">
        <v>272589000</v>
      </c>
      <c r="V102" s="10">
        <v>-178672000</v>
      </c>
      <c r="W102" s="10">
        <v>-16804000</v>
      </c>
      <c r="X102" s="10">
        <v>200887000</v>
      </c>
      <c r="Y102" s="10">
        <v>-886000</v>
      </c>
      <c r="AF102" s="37" t="s">
        <v>143</v>
      </c>
      <c r="AG102" s="38">
        <f>AG101/AG103</f>
        <v>0.95609847921282098</v>
      </c>
    </row>
    <row r="103" spans="1:33" ht="20" x14ac:dyDescent="0.25">
      <c r="A103" s="5" t="s">
        <v>88</v>
      </c>
      <c r="B103" s="1" t="s">
        <v>92</v>
      </c>
      <c r="C103" s="1">
        <v>54905</v>
      </c>
      <c r="D103" s="1">
        <v>206408</v>
      </c>
      <c r="E103" s="1">
        <v>5636100</v>
      </c>
      <c r="F103" s="1">
        <v>3576937</v>
      </c>
      <c r="G103" s="1">
        <v>15878326</v>
      </c>
      <c r="H103" s="1">
        <v>14757159</v>
      </c>
      <c r="I103" s="1">
        <v>16351909</v>
      </c>
      <c r="J103" s="1">
        <v>18773685</v>
      </c>
      <c r="K103" s="1">
        <v>42801461</v>
      </c>
      <c r="L103" s="1">
        <v>46880435</v>
      </c>
      <c r="M103" s="1">
        <v>45505049</v>
      </c>
      <c r="N103" s="1">
        <v>42684241</v>
      </c>
      <c r="O103" s="1">
        <v>21300733</v>
      </c>
      <c r="P103" s="1">
        <v>36127000</v>
      </c>
      <c r="Q103" s="1">
        <v>42271000</v>
      </c>
      <c r="R103" s="1">
        <v>48367000</v>
      </c>
      <c r="S103" s="1">
        <v>59526000</v>
      </c>
      <c r="T103" s="1">
        <v>40651000</v>
      </c>
      <c r="U103" s="1">
        <v>78438000</v>
      </c>
      <c r="V103" s="1">
        <v>351027000</v>
      </c>
      <c r="W103" s="1">
        <v>172355000</v>
      </c>
      <c r="X103" s="1">
        <v>155551000</v>
      </c>
      <c r="Y103" s="1">
        <v>356438000</v>
      </c>
      <c r="AF103" s="39" t="s">
        <v>144</v>
      </c>
      <c r="AG103" s="44">
        <f>AG99+AG101</f>
        <v>16197844340</v>
      </c>
    </row>
    <row r="104" spans="1:33" ht="20" thickBot="1" x14ac:dyDescent="0.3">
      <c r="A104" s="7" t="s">
        <v>89</v>
      </c>
      <c r="B104" s="11" t="s">
        <v>92</v>
      </c>
      <c r="C104" s="11">
        <v>206408</v>
      </c>
      <c r="D104" s="11">
        <v>5636100</v>
      </c>
      <c r="E104" s="11">
        <v>3576937</v>
      </c>
      <c r="F104" s="11">
        <v>15878326</v>
      </c>
      <c r="G104" s="11">
        <v>14757159</v>
      </c>
      <c r="H104" s="11">
        <v>16351909</v>
      </c>
      <c r="I104" s="11">
        <v>18773685</v>
      </c>
      <c r="J104" s="11">
        <v>48800287</v>
      </c>
      <c r="K104" s="11">
        <v>46880435</v>
      </c>
      <c r="L104" s="11">
        <v>45505049</v>
      </c>
      <c r="M104" s="11">
        <v>42684241</v>
      </c>
      <c r="N104" s="11">
        <v>21300733</v>
      </c>
      <c r="O104" s="11">
        <v>36126791</v>
      </c>
      <c r="P104" s="11">
        <v>42271000</v>
      </c>
      <c r="Q104" s="11">
        <v>48367000</v>
      </c>
      <c r="R104" s="11">
        <v>59526000</v>
      </c>
      <c r="S104" s="11">
        <v>40651000</v>
      </c>
      <c r="T104" s="11">
        <v>75105000</v>
      </c>
      <c r="U104" s="11">
        <v>351027000</v>
      </c>
      <c r="V104" s="11">
        <v>172355000</v>
      </c>
      <c r="W104" s="11">
        <v>155551000</v>
      </c>
      <c r="X104" s="11">
        <v>356438000</v>
      </c>
      <c r="Y104" s="11">
        <v>355552000</v>
      </c>
      <c r="AF104" s="35" t="s">
        <v>145</v>
      </c>
      <c r="AG104" s="36"/>
    </row>
    <row r="105" spans="1:33" ht="21" thickTop="1" x14ac:dyDescent="0.25">
      <c r="A105" s="14" t="s">
        <v>107</v>
      </c>
      <c r="B105" s="1"/>
      <c r="C105" s="15" t="e">
        <f>(C106/B106)-1</f>
        <v>#VALUE!</v>
      </c>
      <c r="D105" s="15">
        <f>(D106/C106)-1</f>
        <v>9.1105889827259485</v>
      </c>
      <c r="E105" s="15">
        <f>(E106/D106)-1</f>
        <v>0.31361521777284707</v>
      </c>
      <c r="F105" s="15">
        <f>(F106/E106)-1</f>
        <v>-1.5900498226393216</v>
      </c>
      <c r="G105" s="15">
        <f>(G106/F106)-1</f>
        <v>25.531906417904608</v>
      </c>
      <c r="H105" s="15">
        <f t="shared" ref="H105:W105" si="14">(H106/G106)-1</f>
        <v>-1.3553133643604656</v>
      </c>
      <c r="I105" s="15">
        <f t="shared" si="14"/>
        <v>-1.8025234130959138</v>
      </c>
      <c r="J105" s="15">
        <f t="shared" si="14"/>
        <v>0.73683542498363086</v>
      </c>
      <c r="K105" s="15">
        <f t="shared" si="14"/>
        <v>-0.8693777829262479</v>
      </c>
      <c r="L105" s="15">
        <f t="shared" si="14"/>
        <v>-4.3084049969054368</v>
      </c>
      <c r="M105" s="15">
        <f t="shared" si="14"/>
        <v>-7.1737505319883432E-2</v>
      </c>
      <c r="N105" s="15">
        <f t="shared" si="14"/>
        <v>-4.9770945141653113</v>
      </c>
      <c r="O105" s="15">
        <f t="shared" si="14"/>
        <v>0.65047923032979393</v>
      </c>
      <c r="P105" s="15">
        <f t="shared" si="14"/>
        <v>0.22484047583921374</v>
      </c>
      <c r="Q105" s="15">
        <f t="shared" si="14"/>
        <v>7.9947229551451171E-2</v>
      </c>
      <c r="R105" s="15">
        <f t="shared" si="14"/>
        <v>0.21979599315905207</v>
      </c>
      <c r="S105" s="15">
        <f t="shared" si="14"/>
        <v>-0.76282516712150428</v>
      </c>
      <c r="T105" s="15">
        <f t="shared" si="14"/>
        <v>-0.25609627361976139</v>
      </c>
      <c r="U105" s="15">
        <f t="shared" si="14"/>
        <v>6.4042855115652051</v>
      </c>
      <c r="V105" s="15">
        <f t="shared" si="14"/>
        <v>-5.4582391046034684E-2</v>
      </c>
      <c r="W105" s="15">
        <f t="shared" si="14"/>
        <v>-1.6971214271234543</v>
      </c>
      <c r="X105" s="15">
        <f t="shared" ref="X105" si="15">(X106/W106)-1</f>
        <v>-3.1581319608014189</v>
      </c>
      <c r="Y105" s="15">
        <f t="shared" ref="Y105" si="16">(Y106/X106)-1</f>
        <v>1.419410908698933</v>
      </c>
      <c r="Z105" s="15"/>
      <c r="AA105" s="15"/>
      <c r="AB105" s="15"/>
      <c r="AC105" s="15"/>
      <c r="AD105" s="15"/>
      <c r="AE105" s="15"/>
      <c r="AF105" s="25" t="s">
        <v>108</v>
      </c>
      <c r="AG105" s="26">
        <f>(AG100*AG92)+(AG102*AG97)</f>
        <v>8.179279835309286E-2</v>
      </c>
    </row>
    <row r="106" spans="1:33" ht="19" x14ac:dyDescent="0.25">
      <c r="A106" s="5" t="s">
        <v>90</v>
      </c>
      <c r="B106" s="1" t="s">
        <v>92</v>
      </c>
      <c r="C106" s="1">
        <v>-91293</v>
      </c>
      <c r="D106" s="1">
        <v>-923026</v>
      </c>
      <c r="E106" s="1">
        <v>-1212501</v>
      </c>
      <c r="F106" s="1">
        <v>715436</v>
      </c>
      <c r="G106" s="1">
        <v>18981881</v>
      </c>
      <c r="H106" s="1">
        <v>-6744516</v>
      </c>
      <c r="I106" s="1">
        <v>5412632</v>
      </c>
      <c r="J106" s="1">
        <v>9400851</v>
      </c>
      <c r="K106" s="1">
        <v>1227960</v>
      </c>
      <c r="L106" s="1">
        <v>-4062589</v>
      </c>
      <c r="M106" s="1">
        <v>-3771149</v>
      </c>
      <c r="N106" s="1">
        <v>14998216</v>
      </c>
      <c r="O106" s="1">
        <v>24754244</v>
      </c>
      <c r="P106" s="1">
        <v>30320000</v>
      </c>
      <c r="Q106" s="1">
        <v>32744000</v>
      </c>
      <c r="R106" s="1">
        <v>39941000</v>
      </c>
      <c r="S106" s="1">
        <v>9473000</v>
      </c>
      <c r="T106" s="1">
        <v>7047000</v>
      </c>
      <c r="U106" s="1">
        <v>52178000</v>
      </c>
      <c r="V106" s="1">
        <v>49330000</v>
      </c>
      <c r="W106" s="1">
        <v>-34389000</v>
      </c>
      <c r="X106" s="1">
        <v>74216000</v>
      </c>
      <c r="Y106" s="1">
        <v>179559000</v>
      </c>
      <c r="Z106" s="45">
        <f>Y106*(1+$AG$106)</f>
        <v>208361634.97602445</v>
      </c>
      <c r="AA106" s="45">
        <f t="shared" ref="AA106:AD106" si="17">Z106*(1+$AG$106)</f>
        <v>241784432.58139139</v>
      </c>
      <c r="AB106" s="45">
        <f t="shared" si="17"/>
        <v>280568502.18818921</v>
      </c>
      <c r="AC106" s="45">
        <f t="shared" si="17"/>
        <v>325573832.77198803</v>
      </c>
      <c r="AD106" s="45">
        <f t="shared" si="17"/>
        <v>377798362.10817724</v>
      </c>
      <c r="AE106" s="46" t="s">
        <v>146</v>
      </c>
      <c r="AF106" s="47" t="s">
        <v>147</v>
      </c>
      <c r="AG106" s="48">
        <f>(SUM(Z4:AD4)/5)</f>
        <v>0.16040763746748668</v>
      </c>
    </row>
    <row r="107" spans="1:33" ht="19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46"/>
      <c r="AA107" s="46"/>
      <c r="AB107" s="46"/>
      <c r="AC107" s="46"/>
      <c r="AD107" s="49">
        <f>AD106*(1+AG107)/(AG108-AG107)</f>
        <v>6818528623.1769714</v>
      </c>
      <c r="AE107" s="50" t="s">
        <v>148</v>
      </c>
      <c r="AF107" s="51" t="s">
        <v>149</v>
      </c>
      <c r="AG107" s="52">
        <v>2.5000000000000001E-2</v>
      </c>
    </row>
    <row r="108" spans="1:33" ht="19" x14ac:dyDescent="0.25">
      <c r="Z108" s="49">
        <f t="shared" ref="Z108:AB108" si="18">Z107+Z106</f>
        <v>208361634.97602445</v>
      </c>
      <c r="AA108" s="49">
        <f t="shared" si="18"/>
        <v>241784432.58139139</v>
      </c>
      <c r="AB108" s="49">
        <f t="shared" si="18"/>
        <v>280568502.18818921</v>
      </c>
      <c r="AC108" s="49">
        <f>AC107+AC106</f>
        <v>325573832.77198803</v>
      </c>
      <c r="AD108" s="49">
        <f>AD107+AD106</f>
        <v>7196326985.2851486</v>
      </c>
      <c r="AE108" s="50" t="s">
        <v>144</v>
      </c>
      <c r="AF108" s="53" t="s">
        <v>150</v>
      </c>
      <c r="AG108" s="54">
        <f>AG105</f>
        <v>8.179279835309286E-2</v>
      </c>
    </row>
    <row r="109" spans="1:33" ht="19" x14ac:dyDescent="0.25">
      <c r="Z109" s="55" t="s">
        <v>151</v>
      </c>
      <c r="AA109" s="56"/>
    </row>
    <row r="110" spans="1:33" ht="20" x14ac:dyDescent="0.25">
      <c r="Z110" s="57" t="s">
        <v>152</v>
      </c>
      <c r="AA110" s="58">
        <f>NPV(AG108,Z108,AA108,AB108,AC108,AD108)</f>
        <v>5715805309.415988</v>
      </c>
    </row>
    <row r="111" spans="1:33" ht="20" x14ac:dyDescent="0.25">
      <c r="Z111" s="57" t="s">
        <v>153</v>
      </c>
      <c r="AA111" s="58">
        <f>Y40</f>
        <v>392924000</v>
      </c>
    </row>
    <row r="112" spans="1:33" ht="20" x14ac:dyDescent="0.25">
      <c r="Z112" s="57" t="s">
        <v>140</v>
      </c>
      <c r="AA112" s="58">
        <f>AG99</f>
        <v>711110000</v>
      </c>
    </row>
    <row r="113" spans="26:27" ht="20" x14ac:dyDescent="0.25">
      <c r="Z113" s="57" t="s">
        <v>154</v>
      </c>
      <c r="AA113" s="58">
        <f>AA110+AA111-AA112</f>
        <v>5397619309.415988</v>
      </c>
    </row>
    <row r="114" spans="26:27" ht="20" x14ac:dyDescent="0.25">
      <c r="Z114" s="57" t="s">
        <v>155</v>
      </c>
      <c r="AA114" s="59">
        <f>Y34*(1+(5*AE16))</f>
        <v>94833119.366210282</v>
      </c>
    </row>
    <row r="115" spans="26:27" ht="20" x14ac:dyDescent="0.25">
      <c r="Z115" s="60" t="s">
        <v>156</v>
      </c>
      <c r="AA115" s="61">
        <f>AA113/AA114</f>
        <v>56.917027990742213</v>
      </c>
    </row>
    <row r="116" spans="26:27" ht="20" x14ac:dyDescent="0.25">
      <c r="Z116" s="62" t="s">
        <v>157</v>
      </c>
      <c r="AA116" s="63">
        <v>213.51</v>
      </c>
    </row>
    <row r="117" spans="26:27" ht="20" x14ac:dyDescent="0.25">
      <c r="Z117" s="64" t="s">
        <v>158</v>
      </c>
      <c r="AA117" s="65">
        <f>AA115/AA116-1</f>
        <v>-0.73342219104143969</v>
      </c>
    </row>
    <row r="118" spans="26:27" ht="20" x14ac:dyDescent="0.25">
      <c r="Z118" s="64" t="s">
        <v>159</v>
      </c>
      <c r="AA118" s="66" t="str">
        <f>IF(AA115&gt;AA116,"BUY","SELL")</f>
        <v>SELL</v>
      </c>
    </row>
  </sheetData>
  <mergeCells count="6">
    <mergeCell ref="AF83:AG83"/>
    <mergeCell ref="AF84:AG84"/>
    <mergeCell ref="AF93:AG93"/>
    <mergeCell ref="AF98:AG98"/>
    <mergeCell ref="AF104:AG104"/>
    <mergeCell ref="Z109:AA109"/>
  </mergeCells>
  <hyperlinks>
    <hyperlink ref="A1" r:id="rId1" tooltip="https://roic.ai/company/AXON" display="ROIC.AI | AXON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069183/000095015302000738/0000950153-02-000738-index.htm" xr:uid="{00000000-0004-0000-0000-000007000000}"/>
    <hyperlink ref="D74" r:id="rId7" tooltip="https://www.sec.gov/Archives/edgar/data/1069183/000095015302000738/0000950153-02-000738-index.htm" xr:uid="{00000000-0004-0000-0000-000008000000}"/>
    <hyperlink ref="E36" r:id="rId8" tooltip="https://www.sec.gov/Archives/edgar/data/1069183/000095015303000486/0000950153-03-000486-index.htm" xr:uid="{00000000-0004-0000-0000-00000A000000}"/>
    <hyperlink ref="E74" r:id="rId9" tooltip="https://www.sec.gov/Archives/edgar/data/1069183/000095015303000486/0000950153-03-000486-index.htm" xr:uid="{00000000-0004-0000-0000-00000B000000}"/>
    <hyperlink ref="F36" r:id="rId10" tooltip="https://www.sec.gov/Archives/edgar/data/1069183/000095015304000534/0000950153-04-000534-index.htm" xr:uid="{00000000-0004-0000-0000-00000D000000}"/>
    <hyperlink ref="F74" r:id="rId11" tooltip="https://www.sec.gov/Archives/edgar/data/1069183/000095015304000534/0000950153-04-000534-index.htm" xr:uid="{00000000-0004-0000-0000-00000E000000}"/>
    <hyperlink ref="G36" r:id="rId12" tooltip="https://www.sec.gov/Archives/edgar/data/1069183/000095015305001220/0000950153-05-001220-index.htm" xr:uid="{00000000-0004-0000-0000-000010000000}"/>
    <hyperlink ref="G74" r:id="rId13" tooltip="https://www.sec.gov/Archives/edgar/data/1069183/000095015305001220/0000950153-05-001220-index.htm" xr:uid="{00000000-0004-0000-0000-000011000000}"/>
    <hyperlink ref="H36" r:id="rId14" tooltip="https://www.sec.gov/Archives/edgar/data/1069183/000095015306000700/0000950153-06-000700-index.htm" xr:uid="{00000000-0004-0000-0000-000013000000}"/>
    <hyperlink ref="H74" r:id="rId15" tooltip="https://www.sec.gov/Archives/edgar/data/1069183/000095015306000700/0000950153-06-000700-index.htm" xr:uid="{00000000-0004-0000-0000-000014000000}"/>
    <hyperlink ref="I36" r:id="rId16" tooltip="https://www.sec.gov/Archives/edgar/data/1069183/000095015307000571/0000950153-07-000571-index.htm" xr:uid="{00000000-0004-0000-0000-000016000000}"/>
    <hyperlink ref="I74" r:id="rId17" tooltip="https://www.sec.gov/Archives/edgar/data/1069183/000095015307000571/0000950153-07-000571-index.htm" xr:uid="{00000000-0004-0000-0000-000017000000}"/>
    <hyperlink ref="J36" r:id="rId18" tooltip="https://www.sec.gov/Archives/edgar/data/1069183/000095015308000423/0000950153-08-000423-index.htm" xr:uid="{00000000-0004-0000-0000-000019000000}"/>
    <hyperlink ref="J74" r:id="rId19" tooltip="https://www.sec.gov/Archives/edgar/data/1069183/000095015308000423/0000950153-08-000423-index.htm" xr:uid="{00000000-0004-0000-0000-00001A000000}"/>
    <hyperlink ref="K36" r:id="rId20" tooltip="https://www.sec.gov/Archives/edgar/data/1069183/000095015309000201/0000950153-09-000201-index.htm" xr:uid="{00000000-0004-0000-0000-00001C000000}"/>
    <hyperlink ref="K74" r:id="rId21" tooltip="https://www.sec.gov/Archives/edgar/data/1069183/000095015309000201/0000950153-09-000201-index.htm" xr:uid="{00000000-0004-0000-0000-00001D000000}"/>
    <hyperlink ref="L36" r:id="rId22" tooltip="https://www.sec.gov/Archives/edgar/data/1069183/000095012310024799/0000950123-10-024799-index.htm" xr:uid="{00000000-0004-0000-0000-00001F000000}"/>
    <hyperlink ref="L74" r:id="rId23" tooltip="https://www.sec.gov/Archives/edgar/data/1069183/000095012310024799/0000950123-10-024799-index.htm" xr:uid="{00000000-0004-0000-0000-000020000000}"/>
    <hyperlink ref="M36" r:id="rId24" tooltip="https://www.sec.gov/Archives/edgar/data/1069183/000095012311025257/0000950123-11-025257-index.htm" xr:uid="{00000000-0004-0000-0000-000022000000}"/>
    <hyperlink ref="M74" r:id="rId25" tooltip="https://www.sec.gov/Archives/edgar/data/1069183/000095012311025257/0000950123-11-025257-index.htm" xr:uid="{00000000-0004-0000-0000-000023000000}"/>
    <hyperlink ref="N36" r:id="rId26" tooltip="https://www.sec.gov/Archives/edgar/data/1069183/000119312512472649/0001193125-12-472649-index.htm" xr:uid="{00000000-0004-0000-0000-000025000000}"/>
    <hyperlink ref="N74" r:id="rId27" tooltip="https://www.sec.gov/Archives/edgar/data/1069183/000119312512472649/0001193125-12-472649-index.htm" xr:uid="{00000000-0004-0000-0000-000026000000}"/>
    <hyperlink ref="O36" r:id="rId28" tooltip="https://www.sec.gov/Archives/edgar/data/1069183/000119312513098571/0001193125-13-098571-index.htm" xr:uid="{00000000-0004-0000-0000-000028000000}"/>
    <hyperlink ref="O74" r:id="rId29" tooltip="https://www.sec.gov/Archives/edgar/data/1069183/000119312513098571/0001193125-13-098571-index.htm" xr:uid="{00000000-0004-0000-0000-000029000000}"/>
    <hyperlink ref="P36" r:id="rId30" tooltip="https://www.sec.gov/Archives/edgar/data/1069183/000119312514091839/0001193125-14-091839-index.htm" xr:uid="{00000000-0004-0000-0000-00002B000000}"/>
    <hyperlink ref="P74" r:id="rId31" tooltip="https://www.sec.gov/Archives/edgar/data/1069183/000119312514091839/0001193125-14-091839-index.htm" xr:uid="{00000000-0004-0000-0000-00002C000000}"/>
    <hyperlink ref="Q36" r:id="rId32" tooltip="https://www.sec.gov/Archives/edgar/data/1069183/000106918315000028/0001069183-15-000028-index.htm" xr:uid="{00000000-0004-0000-0000-00002E000000}"/>
    <hyperlink ref="Q74" r:id="rId33" tooltip="https://www.sec.gov/Archives/edgar/data/1069183/000106918315000028/0001069183-15-000028-index.htm" xr:uid="{00000000-0004-0000-0000-00002F000000}"/>
    <hyperlink ref="R36" r:id="rId34" tooltip="https://www.sec.gov/Archives/edgar/data/1069183/000106918316000148/0001069183-16-000148-index.htm" xr:uid="{00000000-0004-0000-0000-000031000000}"/>
    <hyperlink ref="R74" r:id="rId35" tooltip="https://www.sec.gov/Archives/edgar/data/1069183/000106918316000148/0001069183-16-000148-index.htm" xr:uid="{00000000-0004-0000-0000-000032000000}"/>
    <hyperlink ref="S36" r:id="rId36" tooltip="https://www.sec.gov/Archives/edgar/data/1069183/000106918317000042/0001069183-17-000042-index.htm" xr:uid="{00000000-0004-0000-0000-000034000000}"/>
    <hyperlink ref="S74" r:id="rId37" tooltip="https://www.sec.gov/Archives/edgar/data/1069183/000106918317000042/0001069183-17-000042-index.htm" xr:uid="{00000000-0004-0000-0000-000035000000}"/>
    <hyperlink ref="T36" r:id="rId38" tooltip="https://www.sec.gov/Archives/edgar/data/1069183/000106918318000020/0001069183-18-000020-index.htm" xr:uid="{00000000-0004-0000-0000-000037000000}"/>
    <hyperlink ref="T74" r:id="rId39" tooltip="https://www.sec.gov/Archives/edgar/data/1069183/000106918318000020/0001069183-18-000020-index.htm" xr:uid="{00000000-0004-0000-0000-000038000000}"/>
    <hyperlink ref="U36" r:id="rId40" tooltip="https://www.sec.gov/Archives/edgar/data/1069183/000106918319000023/0001069183-19-000023-index.htm" xr:uid="{00000000-0004-0000-0000-00003A000000}"/>
    <hyperlink ref="U74" r:id="rId41" tooltip="https://www.sec.gov/Archives/edgar/data/1069183/000106918319000023/0001069183-19-000023-index.htm" xr:uid="{00000000-0004-0000-0000-00003B000000}"/>
    <hyperlink ref="V36" r:id="rId42" tooltip="https://www.sec.gov/Archives/edgar/data/1069183/000106918320000016/0001069183-20-000016-index.htm" xr:uid="{00000000-0004-0000-0000-00003D000000}"/>
    <hyperlink ref="V74" r:id="rId43" tooltip="https://www.sec.gov/Archives/edgar/data/1069183/000106918320000016/0001069183-20-000016-index.htm" xr:uid="{00000000-0004-0000-0000-00003E000000}"/>
    <hyperlink ref="W36" r:id="rId44" tooltip="https://www.sec.gov/Archives/edgar/data/1069183/000155837021001873/0001558370-21-001873-index.htm" xr:uid="{00000000-0004-0000-0000-000040000000}"/>
    <hyperlink ref="W74" r:id="rId45" tooltip="https://www.sec.gov/Archives/edgar/data/1069183/000155837021001873/0001558370-21-001873-index.htm" xr:uid="{00000000-0004-0000-0000-000041000000}"/>
    <hyperlink ref="X36" r:id="rId46" tooltip="https://www.sec.gov/Archives/edgar/data/1069183/000155837022002006/0001558370-22-002006-index.htm" xr:uid="{00000000-0004-0000-0000-000043000000}"/>
    <hyperlink ref="X74" r:id="rId47" tooltip="https://www.sec.gov/Archives/edgar/data/1069183/000155837022002006/0001558370-22-002006-index.htm" xr:uid="{00000000-0004-0000-0000-000044000000}"/>
    <hyperlink ref="Y36" r:id="rId48" tooltip="https://www.sec.gov/Archives/edgar/data/1069183/000155837023002413/0001558370-23-002413-index.htm" xr:uid="{00000000-0004-0000-0000-000046000000}"/>
    <hyperlink ref="Y74" r:id="rId49" tooltip="https://www.sec.gov/Archives/edgar/data/1069183/000155837023002413/0001558370-23-002413-index.htm" xr:uid="{00000000-0004-0000-0000-000047000000}"/>
    <hyperlink ref="Z1" r:id="rId50" display="https://finbox.com/NASDAQGS:AXON/explorer/revenue_proj" xr:uid="{CADB6E66-E754-E54E-902A-2FF6BF2DC00F}"/>
  </hyperlinks>
  <pageMargins left="0.7" right="0.7" top="0.75" bottom="0.75" header="0.3" footer="0.3"/>
  <drawing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2023-03-13T07:40:02Z</dcterms:created>
  <dcterms:modified xsi:type="dcterms:W3CDTF">2023-03-23T08:24:25Z</dcterms:modified>
</cp:coreProperties>
</file>