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CC2CC706-FA01-A946-A45B-9EFF67A3DE07}" xr6:coauthVersionLast="47" xr6:coauthVersionMax="47" xr10:uidLastSave="{00000000-0000-0000-0000-000000000000}"/>
  <bookViews>
    <workbookView xWindow="0" yWindow="500" windowWidth="283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T91" i="1"/>
  <c r="AT90" i="1"/>
  <c r="AT89" i="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9" i="1"/>
  <c r="AL13" i="1"/>
  <c r="AL20" i="1"/>
  <c r="AL29" i="1"/>
  <c r="AL35"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T106" i="1"/>
  <c r="AN108" i="1"/>
  <c r="AN112" i="1"/>
  <c r="AT103" i="1"/>
  <c r="AT102" i="1" s="1"/>
  <c r="AM108" i="1"/>
  <c r="AT100" i="1" l="1"/>
  <c r="AT105" i="1" s="1"/>
  <c r="AT108" i="1" s="1"/>
  <c r="AO108" i="1"/>
  <c r="AQ107" i="1" l="1"/>
  <c r="AQ108" i="1" s="1"/>
  <c r="AN110" i="1" s="1"/>
  <c r="AN113" i="1" s="1"/>
  <c r="AN115" i="1" s="1"/>
  <c r="AP108" i="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<sst xmlns="http://schemas.openxmlformats.org/spreadsheetml/2006/main" count="1092" uniqueCount="160">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</sst>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FICO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244224422442242E-2"/>
          <c:y val="0.12463979613167823"/>
          <c:w val="0.85699009900990086"/>
          <c:h val="0.711339379037797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numCache>
            </c:numRef>
          </c:val>
          <c:extLst>
            <c:ext xmlns:c16="http://schemas.microsoft.com/office/drawing/2014/chart" uri="{C3380CC4-5D6E-409C-BE32-E72D297353CC}">
              <c16:uniqueId val="{00000000-41A6-0F46-BF74-573CB043BCE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3500000</c:v>
                </c:pt>
                <c:pt idx="1">
                  <c:v>4400000</c:v>
                </c:pt>
                <c:pt idx="2">
                  <c:v>4000000</c:v>
                </c:pt>
                <c:pt idx="3">
                  <c:v>3900000</c:v>
                </c:pt>
                <c:pt idx="4">
                  <c:v>3700000</c:v>
                </c:pt>
                <c:pt idx="5">
                  <c:v>5500000</c:v>
                </c:pt>
                <c:pt idx="6">
                  <c:v>8000000</c:v>
                </c:pt>
                <c:pt idx="7">
                  <c:v>13200000</c:v>
                </c:pt>
                <c:pt idx="8">
                  <c:v>21400000</c:v>
                </c:pt>
                <c:pt idx="9">
                  <c:v>27700000</c:v>
                </c:pt>
                <c:pt idx="10">
                  <c:v>35000000</c:v>
                </c:pt>
                <c:pt idx="11">
                  <c:v>47400000</c:v>
                </c:pt>
                <c:pt idx="12">
                  <c:v>57000000</c:v>
                </c:pt>
                <c:pt idx="13">
                  <c:v>67100000</c:v>
                </c:pt>
                <c:pt idx="14">
                  <c:v>68531000</c:v>
                </c:pt>
                <c:pt idx="15">
                  <c:v>101927000</c:v>
                </c:pt>
                <c:pt idx="16">
                  <c:v>86011000</c:v>
                </c:pt>
                <c:pt idx="17">
                  <c:v>225757000</c:v>
                </c:pt>
                <c:pt idx="18">
                  <c:v>218702000</c:v>
                </c:pt>
                <c:pt idx="19">
                  <c:v>248532000</c:v>
                </c:pt>
                <c:pt idx="20">
                  <c:v>207887000</c:v>
                </c:pt>
                <c:pt idx="21">
                  <c:v>198788000</c:v>
                </c:pt>
                <c:pt idx="22">
                  <c:v>155255000</c:v>
                </c:pt>
                <c:pt idx="23">
                  <c:v>161107000</c:v>
                </c:pt>
                <c:pt idx="24">
                  <c:v>147346000</c:v>
                </c:pt>
                <c:pt idx="25">
                  <c:v>154016000</c:v>
                </c:pt>
                <c:pt idx="26">
                  <c:v>189526000</c:v>
                </c:pt>
                <c:pt idx="27">
                  <c:v>195479000</c:v>
                </c:pt>
                <c:pt idx="28">
                  <c:v>194313000</c:v>
                </c:pt>
                <c:pt idx="29">
                  <c:v>172277000</c:v>
                </c:pt>
                <c:pt idx="30">
                  <c:v>202835000</c:v>
                </c:pt>
                <c:pt idx="31">
                  <c:v>213328000</c:v>
                </c:pt>
                <c:pt idx="32">
                  <c:v>249503000</c:v>
                </c:pt>
                <c:pt idx="33">
                  <c:v>287436000</c:v>
                </c:pt>
                <c:pt idx="34">
                  <c:v>329544000</c:v>
                </c:pt>
                <c:pt idx="35">
                  <c:v>538826000</c:v>
                </c:pt>
                <c:pt idx="36">
                  <c:v>560741000</c:v>
                </c:pt>
              </c:numCache>
            </c:numRef>
          </c:val>
          <c:extLst>
            <c:ext xmlns:c16="http://schemas.microsoft.com/office/drawing/2014/chart" uri="{C3380CC4-5D6E-409C-BE32-E72D297353CC}">
              <c16:uniqueId val="{00000001-41A6-0F46-BF74-573CB043BCE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numCache>
            </c:numRef>
          </c:val>
          <c:extLst>
            <c:ext xmlns:c16="http://schemas.microsoft.com/office/drawing/2014/chart" uri="{C3380CC4-5D6E-409C-BE32-E72D297353CC}">
              <c16:uniqueId val="{00000002-41A6-0F46-BF74-573CB043BCE4}"/>
            </c:ext>
          </c:extLst>
        </c:ser>
        <c:dLbls>
          <c:showLegendKey val="0"/>
          <c:showVal val="0"/>
          <c:showCatName val="0"/>
          <c:showSerName val="0"/>
          <c:showPercent val="0"/>
          <c:showBubbleSize val="0"/>
        </c:dLbls>
        <c:gapWidth val="100"/>
        <c:overlap val="-24"/>
        <c:axId val="181537984"/>
        <c:axId val="190399472"/>
      </c:barChart>
      <c:catAx>
        <c:axId val="181537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399472"/>
        <c:crosses val="autoZero"/>
        <c:auto val="1"/>
        <c:lblAlgn val="ctr"/>
        <c:lblOffset val="100"/>
        <c:noMultiLvlLbl val="0"/>
      </c:catAx>
      <c:valAx>
        <c:axId val="1903994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37984"/>
        <c:crosses val="autoZero"/>
        <c:crossBetween val="between"/>
      </c:valAx>
      <c:spPr>
        <a:noFill/>
        <a:ln>
          <a:noFill/>
        </a:ln>
        <a:effectLst/>
      </c:spPr>
    </c:plotArea>
    <c:legend>
      <c:legendPos val="b"/>
      <c:layout>
        <c:manualLayout>
          <c:xMode val="edge"/>
          <c:yMode val="edge"/>
          <c:x val="0.34740303006678619"/>
          <c:y val="0.91782932000756556"/>
          <c:w val="0.30255367584002496"/>
          <c:h val="5.18293399165812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108</xdr:row>
      <xdr:rowOff>9525</xdr:rowOff>
    </xdr:from>
    <xdr:to>
      <xdr:col>46</xdr:col>
      <xdr:colOff>15875</xdr:colOff>
      <xdr:row>130</xdr:row>
      <xdr:rowOff>31750</xdr:rowOff>
    </xdr:to>
    <xdr:graphicFrame macro="">
      <xdr:nvGraphicFramePr>
        <xdr:cNvPr id="2" name="Chart 1">
          <a:extLst>
            <a:ext uri="{FF2B5EF4-FFF2-40B4-BE49-F238E27FC236}">
              <a16:creationId xmlns:a16="http://schemas.microsoft.com/office/drawing/2014/main" id="{21ED13C1-BD9D-A902-0D1F-1F8C59112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711.84500000000003</v>
    <v>340.48</v>
    <v>1.2672000000000001</v>
    <v>-4.2</v>
    <v>-6.2070000000000007E-3</v>
    <v>0</v>
    <v>0</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3305</v>
    <v>New York Stock Exchange</v>
    <v>XNYS</v>
    <v>XNYS</v>
    <v>5 West Mendenhall, Suites 105, BOZEMAN, MT, 59715 US</v>
    <v>677</v>
    <v>Software &amp; IT Services</v>
    <v>Stock</v>
    <v>45022.958333367969</v>
    <v>0</v>
    <v>668.98</v>
    <v>16914570000</v>
    <v>FAIR ISAAC CORPORATION</v>
    <v>FAIR ISAAC CORPORATION</v>
    <v>671.3</v>
    <v>45.255699999999997</v>
    <v>676.62</v>
    <v>672.42</v>
    <v>672.42</v>
    <v>25154780</v>
    <v>FICO</v>
    <v>FAIR ISAAC CORPORATION (XNYS:FICO)</v>
    <v>127596</v>
    <v>432187</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89" activePane="bottomRight" state="frozen"/>
      <selection pane="topRight"/>
      <selection pane="bottomLeft"/>
      <selection pane="bottomRight" activeCell="AT101" sqref="AT101"/>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8">
        <v>1471000000</v>
      </c>
      <c r="AN3" s="28">
        <v>1605000000</v>
      </c>
      <c r="AO3" s="28">
        <v>1758000000</v>
      </c>
      <c r="AP3" s="28">
        <v>1820000000</v>
      </c>
      <c r="AQ3" s="28">
        <v>1856000000</v>
      </c>
      <c r="AR3" s="18" t="s">
        <v>109</v>
      </c>
      <c r="AS3" s="19" t="s">
        <v>110</v>
      </c>
      <c r="AT3" s="19" t="s">
        <v>111</v>
      </c>
      <c r="AU3" s="19" t="s">
        <v>112</v>
      </c>
    </row>
    <row r="4" spans="1:47" ht="19" x14ac:dyDescent="0.25">
      <c r="A4" s="14" t="s">
        <v>94</v>
      </c>
      <c r="B4" s="1"/>
      <c r="C4" s="15">
        <f>(C3/B3)-1</f>
        <v>0.22297297297297303</v>
      </c>
      <c r="D4" s="15">
        <f>(D3/C3)-1</f>
        <v>0.16022099447513805</v>
      </c>
      <c r="E4" s="15">
        <f>(E3/D3)-1</f>
        <v>0.10476190476190483</v>
      </c>
      <c r="F4" s="15">
        <f t="shared" ref="F4:AQ4" si="0">(F3/E3)-1</f>
        <v>9.9137931034482651E-2</v>
      </c>
      <c r="G4" s="15">
        <f t="shared" si="0"/>
        <v>0.24705882352941178</v>
      </c>
      <c r="H4" s="16">
        <f t="shared" si="0"/>
        <v>0.33962264150943389</v>
      </c>
      <c r="I4" s="16">
        <f t="shared" si="0"/>
        <v>0.56572769953051649</v>
      </c>
      <c r="J4" s="16">
        <f t="shared" si="0"/>
        <v>0.35382308845577204</v>
      </c>
      <c r="K4" s="16">
        <f t="shared" si="0"/>
        <v>0.26135105204872655</v>
      </c>
      <c r="L4" s="16">
        <f t="shared" si="0"/>
        <v>0.3055311676909569</v>
      </c>
      <c r="M4" s="16">
        <f t="shared" si="0"/>
        <v>0.33826496301277742</v>
      </c>
      <c r="N4" s="16">
        <f t="shared" si="0"/>
        <v>0.23366834170854278</v>
      </c>
      <c r="O4" s="16">
        <f t="shared" si="0"/>
        <v>0.12790224032586561</v>
      </c>
      <c r="P4" s="16">
        <f t="shared" si="0"/>
        <v>7.6146623329721885E-2</v>
      </c>
      <c r="Q4" s="16">
        <f t="shared" si="0"/>
        <v>0.10457908955148754</v>
      </c>
      <c r="R4" s="16">
        <f t="shared" si="0"/>
        <v>0.19222355900689059</v>
      </c>
      <c r="S4" s="16">
        <f t="shared" si="0"/>
        <v>0.60363438985979245</v>
      </c>
      <c r="T4" s="16">
        <f t="shared" si="0"/>
        <v>0.12221771982933283</v>
      </c>
      <c r="U4" s="16">
        <f t="shared" si="0"/>
        <v>0.13093205098795546</v>
      </c>
      <c r="V4" s="16">
        <f t="shared" si="0"/>
        <v>3.342302399861774E-2</v>
      </c>
      <c r="W4" s="16">
        <f t="shared" si="0"/>
        <v>-3.7910500202940067E-3</v>
      </c>
      <c r="X4" s="16">
        <f t="shared" si="0"/>
        <v>-9.4126260586984811E-2</v>
      </c>
      <c r="Y4" s="16">
        <f t="shared" si="0"/>
        <v>-0.15319624833186096</v>
      </c>
      <c r="Z4" s="16">
        <f t="shared" si="0"/>
        <v>-3.9782158909843268E-2</v>
      </c>
      <c r="AA4" s="16">
        <f t="shared" si="0"/>
        <v>2.3181973538866973E-2</v>
      </c>
      <c r="AB4" s="16">
        <f t="shared" si="0"/>
        <v>9.156294427957512E-2</v>
      </c>
      <c r="AC4" s="16">
        <f t="shared" si="0"/>
        <v>9.9081491906691577E-2</v>
      </c>
      <c r="AD4" s="16">
        <f t="shared" si="0"/>
        <v>6.125679943613771E-2</v>
      </c>
      <c r="AE4" s="16">
        <f t="shared" si="0"/>
        <v>6.3114000899890277E-2</v>
      </c>
      <c r="AF4" s="16">
        <f t="shared" si="0"/>
        <v>5.0758183602156004E-2</v>
      </c>
      <c r="AG4" s="16">
        <f t="shared" si="0"/>
        <v>5.7653207103599557E-2</v>
      </c>
      <c r="AH4" s="16">
        <f t="shared" si="0"/>
        <v>0.10760495146266402</v>
      </c>
      <c r="AI4" s="16">
        <f t="shared" si="0"/>
        <v>0.12359427589045735</v>
      </c>
      <c r="AJ4" s="16">
        <f t="shared" si="0"/>
        <v>0.11592187800355669</v>
      </c>
      <c r="AK4" s="16">
        <f t="shared" si="0"/>
        <v>1.6974080808798586E-2</v>
      </c>
      <c r="AL4" s="16">
        <f t="shared" si="0"/>
        <v>4.6131666737559751E-2</v>
      </c>
      <c r="AM4" s="16">
        <f t="shared" si="0"/>
        <v>6.8054920240766092E-2</v>
      </c>
      <c r="AN4" s="16">
        <f t="shared" si="0"/>
        <v>9.1094493541808319E-2</v>
      </c>
      <c r="AO4" s="16">
        <f t="shared" si="0"/>
        <v>9.5327102803738351E-2</v>
      </c>
      <c r="AP4" s="16">
        <f t="shared" si="0"/>
        <v>3.5267349260523329E-2</v>
      </c>
      <c r="AQ4" s="16">
        <f t="shared" si="0"/>
        <v>1.978021978021971E-2</v>
      </c>
      <c r="AR4" s="17">
        <f>(AL4+AK4+AJ4)/3</f>
        <v>5.9675875183305006E-2</v>
      </c>
      <c r="AS4" s="17">
        <f>(AL20+AK20+AJ20)/3</f>
        <v>0.27407746676257178</v>
      </c>
      <c r="AT4" s="17">
        <f>(AL29+AK29+AJ29)/3</f>
        <v>0.2805679122605827</v>
      </c>
      <c r="AU4" s="17">
        <f>(AL105+AK105+AJ105)/3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R6" s="18" t="s">
        <v>113</v>
      </c>
      <c r="AS6" s="19" t="s">
        <v>114</v>
      </c>
      <c r="AT6" s="19" t="s">
        <v>115</v>
      </c>
      <c r="AU6" s="19" t="s">
        <v>116</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R7" s="17">
        <f>AL7</f>
        <v>0.78059999999999996</v>
      </c>
      <c r="AS7" s="20">
        <f>AL21</f>
        <v>0.40710000000000002</v>
      </c>
      <c r="AT7" s="20">
        <f>AL30</f>
        <v>0.2712</v>
      </c>
      <c r="AU7" s="20">
        <f>AL106/AL3</f>
        <v>0.36552092182360757</v>
      </c>
    </row>
    <row r="8" spans="1:47" ht="19" x14ac:dyDescent="0.25">
      <c r="A8" s="5" t="s">
        <v>5</v>
      </c>
      <c r="B8" s="1" t="s">
        <v>92</v>
      </c>
      <c r="C8" s="1" t="s">
        <v>92</v>
      </c>
      <c r="D8" s="1" t="s">
        <v>92</v>
      </c>
      <c r="E8" s="1" t="s">
        <v>92</v>
      </c>
      <c r="F8" s="1" t="s">
        <v>92</v>
      </c>
      <c r="G8" s="1" t="s">
        <v>92</v>
      </c>
      <c r="H8" s="1" t="s">
        <v>92</v>
      </c>
      <c r="I8" s="1" t="s">
        <v>92</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92</v>
      </c>
      <c r="AL10" s="1" t="s">
        <v>92</v>
      </c>
      <c r="AR10" s="17">
        <f>AL9</f>
        <v>0.10655717470067598</v>
      </c>
      <c r="AS10" s="20">
        <f>AL13</f>
        <v>0.27871296114777783</v>
      </c>
      <c r="AT10" s="20">
        <f>AL80</f>
        <v>8.375627146456395E-2</v>
      </c>
      <c r="AU10" s="20">
        <f>AL89</f>
        <v>4.3775004174925755E-3</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117</v>
      </c>
      <c r="AS12" s="19" t="s">
        <v>118</v>
      </c>
      <c r="AT12" s="19" t="s">
        <v>119</v>
      </c>
      <c r="AU12" s="19" t="s">
        <v>120</v>
      </c>
    </row>
    <row r="13" spans="1:47" ht="19" x14ac:dyDescent="0.25">
      <c r="A13" s="14" t="s">
        <v>100</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121</v>
      </c>
      <c r="AS15" s="19" t="s">
        <v>122</v>
      </c>
      <c r="AT15" s="19" t="s">
        <v>123</v>
      </c>
      <c r="AU15" s="19" t="s">
        <v>124</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9">
        <f>(AL35+AK35+AJ35+AI35+AH35)/5</f>
        <v>-3.9080036930294715E-2</v>
      </c>
      <c r="AS16" s="30">
        <f>AT101/AL3</f>
        <v>12.2812302598619</v>
      </c>
      <c r="AT16" s="30">
        <f>AT101/AL28</f>
        <v>45.281695985179674</v>
      </c>
      <c r="AU16" s="31">
        <f>AT101/AL106</f>
        <v>33.599253904783474</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4"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125</v>
      </c>
    </row>
    <row r="19" spans="1:44"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R19" s="32">
        <f>AL40-AL56-AL61</f>
        <v>-1779028000</v>
      </c>
    </row>
    <row r="20" spans="1:44" ht="19" customHeight="1" x14ac:dyDescent="0.25">
      <c r="A20" s="14" t="s">
        <v>101</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row>
    <row r="21" spans="1:44" ht="19"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row>
    <row r="22" spans="1:44"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row>
    <row r="23" spans="1:44"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4"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4"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4"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4"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4" ht="19" x14ac:dyDescent="0.25">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row>
    <row r="29" spans="1:44" ht="20" customHeight="1" x14ac:dyDescent="0.25">
      <c r="A29" s="14" t="s">
        <v>102</v>
      </c>
      <c r="B29" s="1"/>
      <c r="C29" s="15">
        <f>(C28/B28)-1</f>
        <v>0.3125</v>
      </c>
      <c r="D29" s="15">
        <f>(D28/C28)-1</f>
        <v>0.14285714285714279</v>
      </c>
      <c r="E29" s="15">
        <f>(E28/D28)-1</f>
        <v>-0.16666666666666663</v>
      </c>
      <c r="F29" s="15">
        <f t="shared" ref="F29:AL29" si="4">(F28/E28)-1</f>
        <v>-0.19999999999999996</v>
      </c>
      <c r="G29" s="15">
        <f t="shared" si="4"/>
        <v>0.75</v>
      </c>
      <c r="H29" s="15">
        <f t="shared" si="4"/>
        <v>0.39285714285714279</v>
      </c>
      <c r="I29" s="15">
        <f t="shared" si="4"/>
        <v>0.35897435897435903</v>
      </c>
      <c r="J29" s="15">
        <f t="shared" si="4"/>
        <v>0.8867924528301887</v>
      </c>
      <c r="K29" s="15">
        <f t="shared" si="4"/>
        <v>0.27</v>
      </c>
      <c r="L29" s="15">
        <f t="shared" si="4"/>
        <v>0.27559055118110232</v>
      </c>
      <c r="M29" s="15">
        <f t="shared" si="4"/>
        <v>0.27777777777777768</v>
      </c>
      <c r="N29" s="15">
        <f t="shared" si="4"/>
        <v>0.17391304347826098</v>
      </c>
      <c r="O29" s="15">
        <f t="shared" si="4"/>
        <v>0.19753086419753085</v>
      </c>
      <c r="P29" s="15">
        <f t="shared" si="4"/>
        <v>-5.0481099656357387E-2</v>
      </c>
      <c r="Q29" s="15">
        <f t="shared" si="4"/>
        <v>0.66885020448047472</v>
      </c>
      <c r="R29" s="15">
        <f t="shared" si="4"/>
        <v>-0.61216169326856351</v>
      </c>
      <c r="S29" s="15">
        <f t="shared" si="4"/>
        <v>4.9917803623350485</v>
      </c>
      <c r="T29" s="15">
        <f t="shared" si="4"/>
        <v>-4.0771951435743858E-2</v>
      </c>
      <c r="U29" s="15">
        <f t="shared" si="4"/>
        <v>0.30898548468692844</v>
      </c>
      <c r="V29" s="15">
        <f t="shared" si="4"/>
        <v>-0.23086184855962189</v>
      </c>
      <c r="W29" s="15">
        <f t="shared" si="4"/>
        <v>1.1247898266432133E-2</v>
      </c>
      <c r="X29" s="15">
        <f t="shared" si="4"/>
        <v>-0.19778308647873866</v>
      </c>
      <c r="Y29" s="15">
        <f t="shared" si="4"/>
        <v>-0.22453306651419858</v>
      </c>
      <c r="Z29" s="15">
        <f t="shared" si="4"/>
        <v>-9.9075297225891257E-3</v>
      </c>
      <c r="AA29" s="15">
        <f t="shared" si="4"/>
        <v>0.11022852444265174</v>
      </c>
      <c r="AB29" s="15">
        <f t="shared" si="4"/>
        <v>0.28565439758531075</v>
      </c>
      <c r="AC29" s="15">
        <f t="shared" si="4"/>
        <v>-2.0749097865310207E-2</v>
      </c>
      <c r="AD29" s="15">
        <f t="shared" si="4"/>
        <v>5.3099506076918823E-2</v>
      </c>
      <c r="AE29" s="15">
        <f t="shared" si="4"/>
        <v>-8.8291402734008595E-2</v>
      </c>
      <c r="AF29" s="15">
        <f t="shared" si="4"/>
        <v>0.26526554299322558</v>
      </c>
      <c r="AG29" s="15">
        <f t="shared" si="4"/>
        <v>0.17184416343834519</v>
      </c>
      <c r="AH29" s="15">
        <f t="shared" si="4"/>
        <v>0.11039639471057883</v>
      </c>
      <c r="AI29" s="15">
        <f t="shared" si="4"/>
        <v>0.3490432889793913</v>
      </c>
      <c r="AJ29" s="15">
        <f t="shared" si="4"/>
        <v>0.230512585621786</v>
      </c>
      <c r="AK29" s="15">
        <f t="shared" si="4"/>
        <v>0.65848458828057921</v>
      </c>
      <c r="AL29" s="15">
        <f t="shared" si="4"/>
        <v>-4.7293437120617066E-2</v>
      </c>
    </row>
    <row r="30" spans="1:44"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row>
    <row r="31" spans="1:44"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row>
    <row r="32" spans="1:44"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8"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row>
    <row r="34" spans="1:38"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row>
    <row r="35" spans="1:38" ht="20" customHeight="1" x14ac:dyDescent="0.25">
      <c r="A35" s="14" t="s">
        <v>103</v>
      </c>
      <c r="B35" s="1"/>
      <c r="C35" s="22">
        <f>(C34-B34)/B34</f>
        <v>0.12498495255623604</v>
      </c>
      <c r="D35" s="22">
        <f t="shared" ref="D35:AL35" si="5">(D34-C34)/C34</f>
        <v>0.1428571470963266</v>
      </c>
      <c r="E35" s="22">
        <f t="shared" si="5"/>
        <v>2.9417618286090318E-2</v>
      </c>
      <c r="F35" s="22">
        <f t="shared" si="5"/>
        <v>-2.8553570687645812E-2</v>
      </c>
      <c r="G35" s="22">
        <f t="shared" si="5"/>
        <v>2.0812861505243117E-2</v>
      </c>
      <c r="H35" s="22">
        <f t="shared" si="5"/>
        <v>1.2994767028497349E-2</v>
      </c>
      <c r="I35" s="22">
        <f t="shared" si="5"/>
        <v>1.9225569794653872E-2</v>
      </c>
      <c r="J35" s="22">
        <f t="shared" si="5"/>
        <v>5.0873169985083698E-2</v>
      </c>
      <c r="K35" s="22">
        <f t="shared" si="5"/>
        <v>6.6238894174130798E-3</v>
      </c>
      <c r="L35" s="22">
        <f t="shared" si="5"/>
        <v>2.0435431894993321E-3</v>
      </c>
      <c r="M35" s="22">
        <f t="shared" si="5"/>
        <v>0.11396972311553848</v>
      </c>
      <c r="N35" s="22">
        <f t="shared" si="5"/>
        <v>1.8377693282636248E-2</v>
      </c>
      <c r="O35" s="22">
        <f t="shared" si="5"/>
        <v>-6.8450528935905417E-3</v>
      </c>
      <c r="P35" s="22">
        <f t="shared" si="5"/>
        <v>1.8866610971874129E-2</v>
      </c>
      <c r="Q35" s="22">
        <f t="shared" si="5"/>
        <v>5.0404281972440498E-2</v>
      </c>
      <c r="R35" s="22">
        <f t="shared" si="5"/>
        <v>8.5620943377134023E-2</v>
      </c>
      <c r="S35" s="22">
        <f t="shared" si="5"/>
        <v>0.34884154460719041</v>
      </c>
      <c r="T35" s="22">
        <f t="shared" si="5"/>
        <v>-3.8717447531047007E-2</v>
      </c>
      <c r="U35" s="22">
        <f t="shared" si="5"/>
        <v>7.5583305948077554E-3</v>
      </c>
      <c r="V35" s="22">
        <f t="shared" si="5"/>
        <v>-0.11495705588171341</v>
      </c>
      <c r="W35" s="22">
        <f t="shared" si="5"/>
        <v>-0.11634548944337812</v>
      </c>
      <c r="X35" s="22">
        <f t="shared" si="5"/>
        <v>-0.14205532772641968</v>
      </c>
      <c r="Y35" s="22">
        <f t="shared" si="5"/>
        <v>-1.2091629028011261E-2</v>
      </c>
      <c r="Z35" s="22">
        <f t="shared" si="5"/>
        <v>-7.110054124979498E-2</v>
      </c>
      <c r="AA35" s="22">
        <f t="shared" si="5"/>
        <v>-0.11741855742915158</v>
      </c>
      <c r="AB35" s="22">
        <f t="shared" si="5"/>
        <v>-9.8154446333900164E-2</v>
      </c>
      <c r="AC35" s="22">
        <f t="shared" si="5"/>
        <v>6.3499986135374204E-3</v>
      </c>
      <c r="AD35" s="22">
        <f t="shared" si="5"/>
        <v>-3.9347514603769423E-2</v>
      </c>
      <c r="AE35" s="22">
        <f t="shared" si="5"/>
        <v>-6.4679899036255165E-2</v>
      </c>
      <c r="AF35" s="22">
        <f t="shared" si="5"/>
        <v>-9.2305805145818636E-3</v>
      </c>
      <c r="AG35" s="22">
        <f t="shared" si="5"/>
        <v>-1.9499814287482977E-3</v>
      </c>
      <c r="AH35" s="22">
        <f t="shared" si="5"/>
        <v>-3.3028376492479451E-2</v>
      </c>
      <c r="AI35" s="22">
        <f t="shared" si="5"/>
        <v>-2.8415651058370749E-2</v>
      </c>
      <c r="AJ35" s="22">
        <f t="shared" si="5"/>
        <v>-1.1949560969168813E-2</v>
      </c>
      <c r="AK35" s="22">
        <f t="shared" si="5"/>
        <v>-2.2450888681010289E-2</v>
      </c>
      <c r="AL35" s="22">
        <f t="shared" si="5"/>
        <v>-9.9555707450444286E-2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92</v>
      </c>
      <c r="AD39" s="1" t="s">
        <v>92</v>
      </c>
      <c r="AE39" s="1" t="s">
        <v>92</v>
      </c>
      <c r="AF39" s="1" t="s">
        <v>92</v>
      </c>
      <c r="AG39" s="1" t="s">
        <v>92</v>
      </c>
      <c r="AH39" s="1" t="s">
        <v>92</v>
      </c>
      <c r="AI39" s="1" t="s">
        <v>92</v>
      </c>
      <c r="AJ39" s="1">
        <v>25513000</v>
      </c>
      <c r="AK39" s="1" t="s">
        <v>92</v>
      </c>
      <c r="AL39" s="1" t="s">
        <v>92</v>
      </c>
    </row>
    <row r="40" spans="1:38"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8"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8" ht="19" x14ac:dyDescent="0.25">
      <c r="A42" s="5" t="s">
        <v>34</v>
      </c>
      <c r="B42" s="1">
        <v>200000</v>
      </c>
      <c r="C42" s="1">
        <v>100000</v>
      </c>
      <c r="D42" s="1">
        <v>200000</v>
      </c>
      <c r="E42" s="1">
        <v>100000</v>
      </c>
      <c r="F42" s="1" t="s">
        <v>92</v>
      </c>
      <c r="G42" s="1" t="s">
        <v>92</v>
      </c>
      <c r="H42" s="1">
        <v>5600000</v>
      </c>
      <c r="I42" s="1" t="s">
        <v>92</v>
      </c>
      <c r="J42" s="1" t="s">
        <v>92</v>
      </c>
      <c r="K42" s="1" t="s">
        <v>92</v>
      </c>
      <c r="L42" s="1" t="s">
        <v>92</v>
      </c>
      <c r="M42" s="1" t="s">
        <v>92</v>
      </c>
      <c r="N42" s="1">
        <v>22000000</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8"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8"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8" ht="19" x14ac:dyDescent="0.25">
      <c r="A47" s="5" t="s">
        <v>39</v>
      </c>
      <c r="B47" s="1" t="s">
        <v>92</v>
      </c>
      <c r="C47" s="1" t="s">
        <v>92</v>
      </c>
      <c r="D47" s="1" t="s">
        <v>92</v>
      </c>
      <c r="E47" s="1" t="s">
        <v>92</v>
      </c>
      <c r="F47" s="1" t="s">
        <v>92</v>
      </c>
      <c r="G47" s="1" t="s">
        <v>92</v>
      </c>
      <c r="H47" s="1" t="s">
        <v>92</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8" ht="19" x14ac:dyDescent="0.25">
      <c r="A48" s="5" t="s">
        <v>40</v>
      </c>
      <c r="B48" s="1" t="s">
        <v>92</v>
      </c>
      <c r="C48" s="1" t="s">
        <v>92</v>
      </c>
      <c r="D48" s="1" t="s">
        <v>92</v>
      </c>
      <c r="E48" s="1" t="s">
        <v>92</v>
      </c>
      <c r="F48" s="1" t="s">
        <v>92</v>
      </c>
      <c r="G48" s="1" t="s">
        <v>92</v>
      </c>
      <c r="H48" s="1" t="s">
        <v>92</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92</v>
      </c>
      <c r="C55" s="1" t="s">
        <v>92</v>
      </c>
      <c r="D55" s="1" t="s">
        <v>92</v>
      </c>
      <c r="E55" s="1" t="s">
        <v>92</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v>5200000</v>
      </c>
      <c r="P56" s="1">
        <v>19109000</v>
      </c>
      <c r="Q56" s="1">
        <v>13800000</v>
      </c>
      <c r="R56" s="1">
        <v>184377000</v>
      </c>
      <c r="S56" s="1" t="s">
        <v>92</v>
      </c>
      <c r="T56" s="1" t="s">
        <v>92</v>
      </c>
      <c r="U56" s="1" t="s">
        <v>92</v>
      </c>
      <c r="V56" s="1">
        <v>400000000</v>
      </c>
      <c r="W56" s="1">
        <v>390963000</v>
      </c>
      <c r="X56" s="1" t="s">
        <v>92</v>
      </c>
      <c r="Y56" s="1" t="s">
        <v>92</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v>11754000</v>
      </c>
      <c r="AC57" s="1">
        <v>6821000</v>
      </c>
      <c r="AD57" s="1" t="s">
        <v>92</v>
      </c>
      <c r="AE57" s="1" t="s">
        <v>92</v>
      </c>
      <c r="AF57" s="1" t="s">
        <v>92</v>
      </c>
      <c r="AG57" s="1" t="s">
        <v>92</v>
      </c>
      <c r="AH57" s="1" t="s">
        <v>92</v>
      </c>
      <c r="AI57" s="1" t="s">
        <v>92</v>
      </c>
      <c r="AJ57" s="1" t="s">
        <v>92</v>
      </c>
      <c r="AK57" s="1" t="s">
        <v>92</v>
      </c>
      <c r="AL57" s="1" t="s">
        <v>92</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92</v>
      </c>
      <c r="C61" s="1" t="s">
        <v>92</v>
      </c>
      <c r="D61" s="1" t="s">
        <v>92</v>
      </c>
      <c r="E61" s="1" t="s">
        <v>92</v>
      </c>
      <c r="F61" s="1" t="s">
        <v>92</v>
      </c>
      <c r="G61" s="1" t="s">
        <v>92</v>
      </c>
      <c r="H61" s="1">
        <v>2700000</v>
      </c>
      <c r="I61" s="1">
        <v>2700000</v>
      </c>
      <c r="J61" s="1">
        <v>2300000</v>
      </c>
      <c r="K61" s="1">
        <v>1900000</v>
      </c>
      <c r="L61" s="1">
        <v>1600000</v>
      </c>
      <c r="M61" s="1">
        <v>1200000</v>
      </c>
      <c r="N61" s="1">
        <v>800000</v>
      </c>
      <c r="O61" s="1">
        <v>400000</v>
      </c>
      <c r="P61" s="1" t="s">
        <v>92</v>
      </c>
      <c r="Q61" s="1" t="s">
        <v>92</v>
      </c>
      <c r="R61" s="1">
        <v>139922000</v>
      </c>
      <c r="S61" s="1">
        <v>541364000</v>
      </c>
      <c r="T61" s="1">
        <v>400000000</v>
      </c>
      <c r="U61" s="1">
        <v>400000000</v>
      </c>
      <c r="V61" s="1" t="s">
        <v>92</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v>700000</v>
      </c>
      <c r="C63" s="1">
        <v>3000000</v>
      </c>
      <c r="D63" s="1">
        <v>2100000</v>
      </c>
      <c r="E63" s="1">
        <v>1400000</v>
      </c>
      <c r="F63" s="1">
        <v>400000</v>
      </c>
      <c r="G63" s="1">
        <v>1000000</v>
      </c>
      <c r="H63" s="1" t="s">
        <v>92</v>
      </c>
      <c r="I63" s="1">
        <v>2700000</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row>
    <row r="64" spans="1:38" ht="19" x14ac:dyDescent="0.25">
      <c r="A64" s="5" t="s">
        <v>55</v>
      </c>
      <c r="B64" s="1">
        <v>100000</v>
      </c>
      <c r="C64" s="1">
        <v>300000</v>
      </c>
      <c r="D64" s="1">
        <v>400000</v>
      </c>
      <c r="E64" s="1">
        <v>400000</v>
      </c>
      <c r="F64" s="1">
        <v>200000</v>
      </c>
      <c r="G64" s="1" t="s">
        <v>92</v>
      </c>
      <c r="H64" s="1">
        <v>1200000</v>
      </c>
      <c r="I64" s="1" t="s">
        <v>92</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92</v>
      </c>
      <c r="C77" s="1" t="s">
        <v>92</v>
      </c>
      <c r="D77" s="1" t="s">
        <v>92</v>
      </c>
      <c r="E77" s="1" t="s">
        <v>92</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92</v>
      </c>
      <c r="C78" s="1" t="s">
        <v>92</v>
      </c>
      <c r="D78" s="1" t="s">
        <v>92</v>
      </c>
      <c r="E78" s="1" t="s">
        <v>92</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3.1605983495445793E-2</v>
      </c>
      <c r="Z80" s="15">
        <f t="shared" si="6"/>
        <v>2.8572938183055036E-2</v>
      </c>
      <c r="AA80" s="15">
        <f t="shared" si="6"/>
        <v>2.5012788796852585E-2</v>
      </c>
      <c r="AB80" s="15">
        <f t="shared" si="6"/>
        <v>3.1384207810792951E-2</v>
      </c>
      <c r="AC80" s="15">
        <f t="shared" si="6"/>
        <v>3.4770608142644231E-2</v>
      </c>
      <c r="AD80" s="15">
        <f t="shared" si="6"/>
        <v>4.6087061224231132E-2</v>
      </c>
      <c r="AE80" s="15">
        <f t="shared" si="6"/>
        <v>5.4016483444427089E-2</v>
      </c>
      <c r="AF80" s="15">
        <f t="shared" si="6"/>
        <v>6.2981360539895337E-2</v>
      </c>
      <c r="AG80" s="15">
        <f t="shared" si="6"/>
        <v>6.5676931972635869E-2</v>
      </c>
      <c r="AH80" s="15">
        <f t="shared" si="6"/>
        <v>7.2460834402770041E-2</v>
      </c>
      <c r="AI80" s="15">
        <f t="shared" si="6"/>
        <v>7.1523330658237391E-2</v>
      </c>
      <c r="AJ80" s="15">
        <f t="shared" si="6"/>
        <v>7.2365016121282724E-2</v>
      </c>
      <c r="AK80" s="15">
        <f t="shared" si="6"/>
        <v>8.5418856757430106E-2</v>
      </c>
      <c r="AL80" s="15">
        <f t="shared" si="6"/>
        <v>8.375627146456395E-2</v>
      </c>
    </row>
    <row r="81" spans="1:46" ht="19" x14ac:dyDescent="0.25">
      <c r="A81" s="5" t="s">
        <v>69</v>
      </c>
      <c r="B81" s="1" t="s">
        <v>92</v>
      </c>
      <c r="C81" s="1" t="s">
        <v>92</v>
      </c>
      <c r="D81" s="1" t="s">
        <v>92</v>
      </c>
      <c r="E81" s="1" t="s">
        <v>92</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21" x14ac:dyDescent="0.25">
      <c r="A83" s="5" t="s">
        <v>34</v>
      </c>
      <c r="B83" s="1" t="s">
        <v>92</v>
      </c>
      <c r="C83" s="1" t="s">
        <v>92</v>
      </c>
      <c r="D83" s="1" t="s">
        <v>92</v>
      </c>
      <c r="E83" s="1" t="s">
        <v>92</v>
      </c>
      <c r="F83" s="1">
        <v>100000</v>
      </c>
      <c r="G83" s="1" t="s">
        <v>92</v>
      </c>
      <c r="H83" s="1" t="s">
        <v>92</v>
      </c>
      <c r="I83" s="1" t="s">
        <v>92</v>
      </c>
      <c r="J83" s="1" t="s">
        <v>92</v>
      </c>
      <c r="K83" s="1" t="s">
        <v>92</v>
      </c>
      <c r="L83" s="1" t="s">
        <v>92</v>
      </c>
      <c r="M83" s="1" t="s">
        <v>92</v>
      </c>
      <c r="N83" s="1">
        <v>-3800000</v>
      </c>
      <c r="O83" s="1">
        <v>-4900000</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57" t="s">
        <v>126</v>
      </c>
      <c r="AT83" s="58"/>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S84" s="59" t="s">
        <v>127</v>
      </c>
      <c r="AT84" s="60"/>
    </row>
    <row r="85" spans="1:46" ht="20" x14ac:dyDescent="0.25">
      <c r="A85" s="5" t="s">
        <v>71</v>
      </c>
      <c r="B85" s="1" t="s">
        <v>92</v>
      </c>
      <c r="C85" s="1" t="s">
        <v>92</v>
      </c>
      <c r="D85" s="1" t="s">
        <v>92</v>
      </c>
      <c r="E85" s="1" t="s">
        <v>92</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S85" s="23" t="s">
        <v>128</v>
      </c>
      <c r="AT85" s="24">
        <f>AL17</f>
        <v>68967000</v>
      </c>
    </row>
    <row r="86" spans="1:46" ht="20" x14ac:dyDescent="0.25">
      <c r="A86" s="5" t="s">
        <v>72</v>
      </c>
      <c r="B86" s="1" t="s">
        <v>92</v>
      </c>
      <c r="C86" s="1" t="s">
        <v>92</v>
      </c>
      <c r="D86" s="1" t="s">
        <v>92</v>
      </c>
      <c r="E86" s="1" t="s">
        <v>92</v>
      </c>
      <c r="F86" s="1" t="s">
        <v>92</v>
      </c>
      <c r="G86" s="1" t="s">
        <v>92</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S86" s="23" t="s">
        <v>129</v>
      </c>
      <c r="AT86" s="24">
        <f>AL56</f>
        <v>49369000</v>
      </c>
    </row>
    <row r="87" spans="1:46" ht="20" x14ac:dyDescent="0.25">
      <c r="A87" s="6" t="s">
        <v>73</v>
      </c>
      <c r="B87" s="10" t="s">
        <v>92</v>
      </c>
      <c r="C87" s="10" t="s">
        <v>92</v>
      </c>
      <c r="D87" s="10" t="s">
        <v>92</v>
      </c>
      <c r="E87" s="10" t="s">
        <v>92</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S87" s="23" t="s">
        <v>130</v>
      </c>
      <c r="AT87" s="24">
        <f>AL61</f>
        <v>1862861000</v>
      </c>
    </row>
    <row r="88" spans="1:46" ht="20" x14ac:dyDescent="0.25">
      <c r="A88" s="5" t="s">
        <v>74</v>
      </c>
      <c r="B88" s="1" t="s">
        <v>92</v>
      </c>
      <c r="C88" s="1" t="s">
        <v>92</v>
      </c>
      <c r="D88" s="1" t="s">
        <v>92</v>
      </c>
      <c r="E88" s="1" t="s">
        <v>92</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S88" s="33" t="s">
        <v>131</v>
      </c>
      <c r="AT88" s="34">
        <f>AT85/(AT86+AT87)</f>
        <v>3.6066268179037041E-2</v>
      </c>
    </row>
    <row r="89" spans="1:46" ht="20" customHeight="1" x14ac:dyDescent="0.25">
      <c r="A89" s="14" t="s">
        <v>105</v>
      </c>
      <c r="B89" s="15" t="e">
        <f t="shared" ref="B89:AL89" si="7">(-1*B88)/B3</f>
        <v>#VALUE!</v>
      </c>
      <c r="C89" s="15" t="e">
        <f t="shared" si="7"/>
        <v>#VALUE!</v>
      </c>
      <c r="D89" s="15" t="e">
        <f t="shared" si="7"/>
        <v>#VALUE!</v>
      </c>
      <c r="E89" s="15" t="e">
        <f t="shared" si="7"/>
        <v>#VALUE!</v>
      </c>
      <c r="F89" s="15">
        <f t="shared" si="7"/>
        <v>3.9215686274509803E-2</v>
      </c>
      <c r="G89" s="15">
        <f t="shared" si="7"/>
        <v>3.1446540880503145E-2</v>
      </c>
      <c r="H89" s="15">
        <f t="shared" si="7"/>
        <v>0.14553990610328638</v>
      </c>
      <c r="I89" s="15">
        <f t="shared" si="7"/>
        <v>8.5457271364317841E-2</v>
      </c>
      <c r="J89" s="15">
        <f t="shared" si="7"/>
        <v>5.8693244739756366E-2</v>
      </c>
      <c r="K89" s="15">
        <f t="shared" si="7"/>
        <v>9.3942054433713784E-2</v>
      </c>
      <c r="L89" s="15">
        <f t="shared" si="7"/>
        <v>8.8096839273705443E-2</v>
      </c>
      <c r="M89" s="15">
        <f t="shared" si="7"/>
        <v>0.10904522613065326</v>
      </c>
      <c r="N89" s="15">
        <f t="shared" si="7"/>
        <v>6.3951120162932792E-2</v>
      </c>
      <c r="O89" s="15">
        <f t="shared" si="7"/>
        <v>6.6088840736728063E-2</v>
      </c>
      <c r="P89" s="15">
        <f t="shared" si="7"/>
        <v>7.582596439418092E-2</v>
      </c>
      <c r="Q89" s="15">
        <f t="shared" si="7"/>
        <v>7.292767994944524E-2</v>
      </c>
      <c r="R89" s="15">
        <f t="shared" si="7"/>
        <v>5.9594615945242062E-2</v>
      </c>
      <c r="S89" s="15">
        <f t="shared" si="7"/>
        <v>2.9099230090815914E-2</v>
      </c>
      <c r="T89" s="15">
        <f t="shared" si="7"/>
        <v>3.2857268275828869E-2</v>
      </c>
      <c r="U89" s="15">
        <f t="shared" si="7"/>
        <v>2.0551641414299503E-2</v>
      </c>
      <c r="V89" s="15">
        <f t="shared" si="7"/>
        <v>3.8054678839059081E-2</v>
      </c>
      <c r="W89" s="15">
        <f t="shared" si="7"/>
        <v>2.765021234779309E-2</v>
      </c>
      <c r="X89" s="15">
        <f t="shared" si="7"/>
        <v>3.058366740865848E-2</v>
      </c>
      <c r="Y89" s="15">
        <f t="shared" si="7"/>
        <v>2.2129737528439043E-2</v>
      </c>
      <c r="Z89" s="15">
        <f t="shared" si="7"/>
        <v>2.8817306565088675E-2</v>
      </c>
      <c r="AA89" s="15">
        <f t="shared" si="7"/>
        <v>2.2624470898830532E-2</v>
      </c>
      <c r="AB89" s="15">
        <f t="shared" si="7"/>
        <v>3.7673171964879966E-2</v>
      </c>
      <c r="AC89" s="15">
        <f t="shared" si="7"/>
        <v>3.2479917788024386E-2</v>
      </c>
      <c r="AD89" s="15">
        <f t="shared" si="7"/>
        <v>1.5957210846847533E-2</v>
      </c>
      <c r="AE89" s="15">
        <f t="shared" si="7"/>
        <v>2.980396551662472E-2</v>
      </c>
      <c r="AF89" s="15">
        <f t="shared" si="7"/>
        <v>2.4926363467202811E-2</v>
      </c>
      <c r="AG89" s="15">
        <f t="shared" si="7"/>
        <v>2.1270821063562508E-2</v>
      </c>
      <c r="AH89" s="15">
        <f t="shared" si="7"/>
        <v>3.0314535460907045E-2</v>
      </c>
      <c r="AI89" s="15">
        <f t="shared" si="7"/>
        <v>2.0671796759369802E-2</v>
      </c>
      <c r="AJ89" s="15">
        <f t="shared" si="7"/>
        <v>1.6985667739358948E-2</v>
      </c>
      <c r="AK89" s="15">
        <f t="shared" si="7"/>
        <v>5.7491781462869224E-3</v>
      </c>
      <c r="AL89" s="15">
        <f t="shared" si="7"/>
        <v>4.3775004174925755E-3</v>
      </c>
      <c r="AS89" s="23" t="s">
        <v>106</v>
      </c>
      <c r="AT89" s="24">
        <f>AL27</f>
        <v>97768000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-48620000</v>
      </c>
      <c r="T90" s="1">
        <v>-284731000</v>
      </c>
      <c r="U90" s="1">
        <v>-41312000</v>
      </c>
      <c r="V90" s="1" t="s">
        <v>92</v>
      </c>
      <c r="W90" s="1" t="s">
        <v>92</v>
      </c>
      <c r="X90" s="1">
        <v>-17755000</v>
      </c>
      <c r="Y90" s="1" t="s">
        <v>92</v>
      </c>
      <c r="Z90" s="1" t="s">
        <v>92</v>
      </c>
      <c r="AA90" s="1" t="s">
        <v>92</v>
      </c>
      <c r="AB90" s="1">
        <v>-123779000</v>
      </c>
      <c r="AC90" s="1">
        <v>-32824000</v>
      </c>
      <c r="AD90" s="1">
        <v>-7253000</v>
      </c>
      <c r="AE90" s="1">
        <v>-56917000</v>
      </c>
      <c r="AF90" s="1">
        <v>-5646000</v>
      </c>
      <c r="AG90" s="1">
        <v>-777000</v>
      </c>
      <c r="AH90" s="1" t="s">
        <v>92</v>
      </c>
      <c r="AI90" s="1">
        <v>-15855000</v>
      </c>
      <c r="AJ90" s="1" t="s">
        <v>92</v>
      </c>
      <c r="AK90" s="1">
        <v>147431000</v>
      </c>
      <c r="AL90" s="1" t="s">
        <v>92</v>
      </c>
      <c r="AS90" s="23" t="s">
        <v>19</v>
      </c>
      <c r="AT90" s="24">
        <f>AL25</f>
        <v>471309000</v>
      </c>
    </row>
    <row r="91" spans="1:46" ht="20" x14ac:dyDescent="0.25">
      <c r="A91" s="5" t="s">
        <v>76</v>
      </c>
      <c r="B91" s="1" t="s">
        <v>92</v>
      </c>
      <c r="C91" s="1" t="s">
        <v>92</v>
      </c>
      <c r="D91" s="1" t="s">
        <v>92</v>
      </c>
      <c r="E91" s="1" t="s">
        <v>92</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92</v>
      </c>
      <c r="AD91" s="1" t="s">
        <v>92</v>
      </c>
      <c r="AE91" s="1" t="s">
        <v>92</v>
      </c>
      <c r="AF91" s="1" t="s">
        <v>92</v>
      </c>
      <c r="AG91" s="1" t="s">
        <v>92</v>
      </c>
      <c r="AH91" s="1">
        <v>-6050000</v>
      </c>
      <c r="AI91" s="1">
        <v>-6404000</v>
      </c>
      <c r="AJ91" s="1">
        <v>-6119000</v>
      </c>
      <c r="AK91" s="1">
        <v>-9249000</v>
      </c>
      <c r="AL91" s="1">
        <v>-9963000</v>
      </c>
      <c r="AS91" s="33" t="s">
        <v>132</v>
      </c>
      <c r="AT91" s="34">
        <f>AT89/AT90</f>
        <v>0.20743928081152704</v>
      </c>
    </row>
    <row r="92" spans="1:46" ht="20" x14ac:dyDescent="0.25">
      <c r="A92" s="5" t="s">
        <v>77</v>
      </c>
      <c r="B92" s="1" t="s">
        <v>92</v>
      </c>
      <c r="C92" s="1" t="s">
        <v>92</v>
      </c>
      <c r="D92" s="1" t="s">
        <v>92</v>
      </c>
      <c r="E92" s="1" t="s">
        <v>92</v>
      </c>
      <c r="F92" s="1">
        <v>8000000</v>
      </c>
      <c r="G92" s="1" t="s">
        <v>92</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92</v>
      </c>
      <c r="AE92" s="1" t="s">
        <v>92</v>
      </c>
      <c r="AF92" s="1" t="s">
        <v>92</v>
      </c>
      <c r="AG92" s="1" t="s">
        <v>92</v>
      </c>
      <c r="AH92" s="1">
        <v>23230000</v>
      </c>
      <c r="AI92" s="1">
        <v>3480000</v>
      </c>
      <c r="AJ92" s="1">
        <v>3470000</v>
      </c>
      <c r="AK92" s="1">
        <v>7237000</v>
      </c>
      <c r="AL92" s="1">
        <v>8063000</v>
      </c>
      <c r="AS92" s="35" t="s">
        <v>133</v>
      </c>
      <c r="AT92" s="36">
        <f>AT88*(1-AT91)</f>
        <v>2.8584707446421932E-2</v>
      </c>
    </row>
    <row r="93" spans="1:46" ht="19" x14ac:dyDescent="0.25">
      <c r="A93" s="5" t="s">
        <v>78</v>
      </c>
      <c r="B93" s="1" t="s">
        <v>92</v>
      </c>
      <c r="C93" s="1" t="s">
        <v>92</v>
      </c>
      <c r="D93" s="1" t="s">
        <v>92</v>
      </c>
      <c r="E93" s="1" t="s">
        <v>92</v>
      </c>
      <c r="F93" s="1">
        <v>-500000</v>
      </c>
      <c r="G93" s="1">
        <v>16000000</v>
      </c>
      <c r="H93" s="1">
        <v>-700000</v>
      </c>
      <c r="I93" s="1">
        <v>-3400000</v>
      </c>
      <c r="J93" s="1" t="s">
        <v>92</v>
      </c>
      <c r="K93" s="1">
        <v>-2500000</v>
      </c>
      <c r="L93" s="1">
        <v>-1300000</v>
      </c>
      <c r="M93" s="1">
        <v>300000</v>
      </c>
      <c r="N93" s="1">
        <v>-3300000</v>
      </c>
      <c r="O93" s="1">
        <v>100000</v>
      </c>
      <c r="P93" s="1" t="s">
        <v>92</v>
      </c>
      <c r="Q93" s="1" t="s">
        <v>92</v>
      </c>
      <c r="R93" s="1">
        <v>140499000</v>
      </c>
      <c r="S93" s="1">
        <v>3062000</v>
      </c>
      <c r="T93" s="1">
        <v>2234000</v>
      </c>
      <c r="U93" s="1">
        <v>22822000</v>
      </c>
      <c r="V93" s="1">
        <v>500000</v>
      </c>
      <c r="W93" s="1">
        <v>16324000</v>
      </c>
      <c r="X93" s="1">
        <v>1527000</v>
      </c>
      <c r="Y93" s="1">
        <v>5300000</v>
      </c>
      <c r="Z93" s="1">
        <v>2232000</v>
      </c>
      <c r="AA93" s="1">
        <v>140000</v>
      </c>
      <c r="AB93" s="1" t="s">
        <v>92</v>
      </c>
      <c r="AC93" s="1" t="s">
        <v>92</v>
      </c>
      <c r="AD93" s="1" t="s">
        <v>92</v>
      </c>
      <c r="AE93" s="1" t="s">
        <v>92</v>
      </c>
      <c r="AF93" s="1" t="s">
        <v>92</v>
      </c>
      <c r="AG93" s="1" t="s">
        <v>92</v>
      </c>
      <c r="AH93" s="1" t="s">
        <v>92</v>
      </c>
      <c r="AI93" s="1" t="s">
        <v>92</v>
      </c>
      <c r="AJ93" s="1">
        <v>55000</v>
      </c>
      <c r="AK93" s="1" t="s">
        <v>92</v>
      </c>
      <c r="AL93" s="1">
        <v>2258000</v>
      </c>
      <c r="AS93" s="59" t="s">
        <v>134</v>
      </c>
      <c r="AT93" s="60"/>
    </row>
    <row r="94" spans="1:46" ht="20" x14ac:dyDescent="0.25">
      <c r="A94" s="6" t="s">
        <v>79</v>
      </c>
      <c r="B94" s="10" t="s">
        <v>92</v>
      </c>
      <c r="C94" s="10" t="s">
        <v>92</v>
      </c>
      <c r="D94" s="10" t="s">
        <v>92</v>
      </c>
      <c r="E94" s="10" t="s">
        <v>92</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S95" s="63" t="s">
        <v>136</v>
      </c>
      <c r="AT95" s="64" cm="1">
        <f t="array" ref="AT95">_FV(A1,"Beta")</f>
        <v>1.2672000000000001</v>
      </c>
    </row>
    <row r="96" spans="1:46" ht="20" x14ac:dyDescent="0.25">
      <c r="A96" s="5" t="s">
        <v>81</v>
      </c>
      <c r="B96" s="1" t="s">
        <v>92</v>
      </c>
      <c r="C96" s="1" t="s">
        <v>92</v>
      </c>
      <c r="D96" s="1" t="s">
        <v>92</v>
      </c>
      <c r="E96" s="1" t="s">
        <v>92</v>
      </c>
      <c r="F96" s="1" t="s">
        <v>92</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92</v>
      </c>
      <c r="AL96" s="1" t="s">
        <v>92</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t="s">
        <v>92</v>
      </c>
      <c r="K97" s="1">
        <v>-100000</v>
      </c>
      <c r="L97" s="1" t="s">
        <v>92</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S97" s="35" t="s">
        <v>138</v>
      </c>
      <c r="AT97" s="36">
        <f>(AT94)+((AT95)*(AT96-AT94))</f>
        <v>9.5502960000000012E-2</v>
      </c>
    </row>
    <row r="98" spans="1:46" ht="19" x14ac:dyDescent="0.25">
      <c r="A98" s="5" t="s">
        <v>83</v>
      </c>
      <c r="B98" s="1" t="s">
        <v>92</v>
      </c>
      <c r="C98" s="1" t="s">
        <v>92</v>
      </c>
      <c r="D98" s="1" t="s">
        <v>92</v>
      </c>
      <c r="E98" s="1" t="s">
        <v>92</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92</v>
      </c>
      <c r="AI98" s="1" t="s">
        <v>92</v>
      </c>
      <c r="AJ98" s="1" t="s">
        <v>92</v>
      </c>
      <c r="AK98" s="1" t="s">
        <v>92</v>
      </c>
      <c r="AL98" s="1" t="s">
        <v>92</v>
      </c>
      <c r="AS98" s="59" t="s">
        <v>139</v>
      </c>
      <c r="AT98" s="60"/>
    </row>
    <row r="99" spans="1:46" ht="20" x14ac:dyDescent="0.25">
      <c r="A99" s="5" t="s">
        <v>84</v>
      </c>
      <c r="B99" s="1" t="s">
        <v>92</v>
      </c>
      <c r="C99" s="1" t="s">
        <v>92</v>
      </c>
      <c r="D99" s="1" t="s">
        <v>92</v>
      </c>
      <c r="E99" s="1" t="s">
        <v>92</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92</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S99" s="23" t="s">
        <v>140</v>
      </c>
      <c r="AT99" s="24">
        <f>AT86+AT87</f>
        <v>1912230000</v>
      </c>
    </row>
    <row r="100" spans="1:46" ht="20" x14ac:dyDescent="0.25">
      <c r="A100" s="6" t="s">
        <v>85</v>
      </c>
      <c r="B100" s="10" t="s">
        <v>92</v>
      </c>
      <c r="C100" s="10" t="s">
        <v>92</v>
      </c>
      <c r="D100" s="10" t="s">
        <v>92</v>
      </c>
      <c r="E100" s="10" t="s">
        <v>92</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S100" s="33" t="s">
        <v>141</v>
      </c>
      <c r="AT100" s="34">
        <f>AT99/AT103</f>
        <v>0.10156957103703232</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S101" s="63" t="s">
        <v>142</v>
      </c>
      <c r="AT101" s="50" cm="1">
        <f t="array" ref="AT101">_FV(A1,"Market cap",TRUE)</f>
        <v>16914570000</v>
      </c>
    </row>
    <row r="102" spans="1:46" ht="20" x14ac:dyDescent="0.25">
      <c r="A102" s="6" t="s">
        <v>87</v>
      </c>
      <c r="B102" s="10" t="s">
        <v>92</v>
      </c>
      <c r="C102" s="10" t="s">
        <v>92</v>
      </c>
      <c r="D102" s="10" t="s">
        <v>92</v>
      </c>
      <c r="E102" s="10" t="s">
        <v>92</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S102" s="33" t="s">
        <v>143</v>
      </c>
      <c r="AT102" s="34">
        <f>AT101/AT103</f>
        <v>0.89843042896296765</v>
      </c>
    </row>
    <row r="103" spans="1:46" ht="20" x14ac:dyDescent="0.25">
      <c r="A103" s="5" t="s">
        <v>88</v>
      </c>
      <c r="B103" s="1" t="s">
        <v>92</v>
      </c>
      <c r="C103" s="1" t="s">
        <v>92</v>
      </c>
      <c r="D103" s="1" t="s">
        <v>92</v>
      </c>
      <c r="E103" s="1" t="s">
        <v>92</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S103" s="35" t="s">
        <v>144</v>
      </c>
      <c r="AT103" s="38">
        <f>AT99+AT101</f>
        <v>18826800000</v>
      </c>
    </row>
    <row r="104" spans="1:46" ht="19" x14ac:dyDescent="0.25">
      <c r="A104" s="7" t="s">
        <v>89</v>
      </c>
      <c r="B104" s="11" t="s">
        <v>92</v>
      </c>
      <c r="C104" s="11" t="s">
        <v>92</v>
      </c>
      <c r="D104" s="11" t="s">
        <v>92</v>
      </c>
      <c r="E104" s="11" t="s">
        <v>92</v>
      </c>
      <c r="F104" s="11" t="s">
        <v>92</v>
      </c>
      <c r="G104" s="11" t="s">
        <v>92</v>
      </c>
      <c r="H104" s="11" t="s">
        <v>92</v>
      </c>
      <c r="I104" s="11" t="s">
        <v>92</v>
      </c>
      <c r="J104" s="11" t="s">
        <v>92</v>
      </c>
      <c r="K104" s="11">
        <v>8300000</v>
      </c>
      <c r="L104" s="11" t="s">
        <v>92</v>
      </c>
      <c r="M104" s="11" t="s">
        <v>92</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S104" s="59" t="s">
        <v>145</v>
      </c>
      <c r="AT104" s="60"/>
    </row>
    <row r="105" spans="1:46" ht="20" x14ac:dyDescent="0.25">
      <c r="A105" s="14" t="s">
        <v>107</v>
      </c>
      <c r="B105" s="1"/>
      <c r="C105" s="15" t="e">
        <f>(C106/B106)-1</f>
        <v>#VALUE!</v>
      </c>
      <c r="D105" s="15" t="e">
        <f>(D106/C106)-1</f>
        <v>#VALUE!</v>
      </c>
      <c r="E105" s="15" t="e">
        <f>(E106/D106)-1</f>
        <v>#VALUE!</v>
      </c>
      <c r="F105" s="15" t="e">
        <f>(F106/E106)-1</f>
        <v>#VALUE!</v>
      </c>
      <c r="G105" s="15">
        <f>(G106/F106)-1</f>
        <v>0.12000000000000011</v>
      </c>
      <c r="H105" s="15">
        <f t="shared" ref="H105:AL105" si="8">(H106/G106)-1</f>
        <v>-1.6071428571428572</v>
      </c>
      <c r="I105" s="15" t="e">
        <f t="shared" si="8"/>
        <v>#VALUE!</v>
      </c>
      <c r="J105" s="15" t="e">
        <f t="shared" si="8"/>
        <v>#VALUE!</v>
      </c>
      <c r="K105" s="15">
        <f t="shared" si="8"/>
        <v>-0.79032258064516125</v>
      </c>
      <c r="L105" s="15">
        <f t="shared" si="8"/>
        <v>1.5384615384615383</v>
      </c>
      <c r="M105" s="15">
        <f t="shared" si="8"/>
        <v>-0.33333333333333337</v>
      </c>
      <c r="N105" s="15">
        <f t="shared" si="8"/>
        <v>4.8181818181818183</v>
      </c>
      <c r="O105" s="15">
        <f t="shared" si="8"/>
        <v>-5.46875E-2</v>
      </c>
      <c r="P105" s="15">
        <f t="shared" si="8"/>
        <v>-0.4191322314049587</v>
      </c>
      <c r="Q105" s="15">
        <f t="shared" si="8"/>
        <v>2.3104503094543642</v>
      </c>
      <c r="R105" s="15">
        <f t="shared" si="8"/>
        <v>0.7134200064467604</v>
      </c>
      <c r="S105" s="15">
        <f t="shared" si="8"/>
        <v>0.95979130609275831</v>
      </c>
      <c r="T105" s="15">
        <f t="shared" si="8"/>
        <v>0.12596152615479128</v>
      </c>
      <c r="U105" s="15">
        <f t="shared" si="8"/>
        <v>0.12346471908835155</v>
      </c>
      <c r="V105" s="15">
        <f t="shared" si="8"/>
        <v>-0.15194669850456322</v>
      </c>
      <c r="W105" s="15">
        <f t="shared" si="8"/>
        <v>-6.6842447489456114E-2</v>
      </c>
      <c r="X105" s="15">
        <f t="shared" si="8"/>
        <v>-0.12822512593653312</v>
      </c>
      <c r="Y105" s="15">
        <f t="shared" si="8"/>
        <v>9.5695534208404265E-3</v>
      </c>
      <c r="Z105" s="15">
        <f t="shared" si="8"/>
        <v>-0.35843835118939527</v>
      </c>
      <c r="AA105" s="15">
        <f t="shared" si="8"/>
        <v>0.38277084017344642</v>
      </c>
      <c r="AB105" s="15">
        <f t="shared" si="8"/>
        <v>-0.14633687037400933</v>
      </c>
      <c r="AC105" s="15">
        <f t="shared" si="8"/>
        <v>7.3947613247268951E-2</v>
      </c>
      <c r="AD105" s="15">
        <f t="shared" si="8"/>
        <v>0.4507425897314532</v>
      </c>
      <c r="AE105" s="15">
        <f t="shared" si="8"/>
        <v>-0.33529093102853902</v>
      </c>
      <c r="AF105" s="15">
        <f t="shared" si="8"/>
        <v>0.51199318379669934</v>
      </c>
      <c r="AG105" s="15">
        <f t="shared" si="8"/>
        <v>0.26064852813269468</v>
      </c>
      <c r="AH105" s="15">
        <f t="shared" si="8"/>
        <v>-6.8328021145100504E-2</v>
      </c>
      <c r="AI105" s="15">
        <f t="shared" si="8"/>
        <v>0.23267432582541092</v>
      </c>
      <c r="AJ105" s="15">
        <f t="shared" si="8"/>
        <v>0.45081207772592857</v>
      </c>
      <c r="AK105" s="15">
        <f t="shared" si="8"/>
        <v>0.21380935301099058</v>
      </c>
      <c r="AL105" s="15">
        <f t="shared" si="8"/>
        <v>0.2094256308739022</v>
      </c>
      <c r="AM105" s="15"/>
      <c r="AN105" s="15"/>
      <c r="AO105" s="15"/>
      <c r="AP105" s="15"/>
      <c r="AQ105" s="15"/>
      <c r="AR105" s="15"/>
      <c r="AS105" s="25" t="s">
        <v>108</v>
      </c>
      <c r="AT105" s="26">
        <f>(AT100*AT92)+(AT102*AT97)</f>
        <v>8.870610179358529E-2</v>
      </c>
    </row>
    <row r="106" spans="1:46" ht="19" x14ac:dyDescent="0.25">
      <c r="A106" s="5" t="s">
        <v>90</v>
      </c>
      <c r="B106" s="1" t="s">
        <v>92</v>
      </c>
      <c r="C106" s="1" t="s">
        <v>92</v>
      </c>
      <c r="D106" s="1" t="s">
        <v>92</v>
      </c>
      <c r="E106" s="1" t="s">
        <v>92</v>
      </c>
      <c r="F106" s="1">
        <v>2500000</v>
      </c>
      <c r="G106" s="1">
        <v>2800000</v>
      </c>
      <c r="H106" s="1">
        <v>-1700000</v>
      </c>
      <c r="I106" s="1" t="s">
        <v>92</v>
      </c>
      <c r="J106" s="1">
        <v>12400000</v>
      </c>
      <c r="K106" s="1">
        <v>2600000</v>
      </c>
      <c r="L106" s="1">
        <v>6600000</v>
      </c>
      <c r="M106" s="1">
        <v>4400000</v>
      </c>
      <c r="N106" s="1">
        <v>25600000</v>
      </c>
      <c r="O106" s="1">
        <v>24200000</v>
      </c>
      <c r="P106" s="1">
        <v>14057000</v>
      </c>
      <c r="Q106" s="1">
        <v>46535000</v>
      </c>
      <c r="R106" s="1">
        <v>79734000</v>
      </c>
      <c r="S106" s="1">
        <v>156262000</v>
      </c>
      <c r="T106" s="1">
        <v>175945000</v>
      </c>
      <c r="U106" s="1">
        <v>197668000</v>
      </c>
      <c r="V106" s="1">
        <v>167633000</v>
      </c>
      <c r="W106" s="1">
        <v>156428000</v>
      </c>
      <c r="X106" s="1">
        <v>136370000</v>
      </c>
      <c r="Y106" s="1">
        <v>137675000</v>
      </c>
      <c r="Z106" s="1">
        <v>88327000</v>
      </c>
      <c r="AA106" s="1">
        <v>122136000</v>
      </c>
      <c r="AB106" s="1">
        <v>104263000</v>
      </c>
      <c r="AC106" s="1">
        <v>111973000</v>
      </c>
      <c r="AD106" s="1">
        <v>162444000</v>
      </c>
      <c r="AE106" s="1">
        <v>107978000</v>
      </c>
      <c r="AF106" s="1">
        <v>163262000</v>
      </c>
      <c r="AG106" s="1">
        <v>205816000</v>
      </c>
      <c r="AH106" s="1">
        <v>191753000</v>
      </c>
      <c r="AI106" s="1">
        <v>236369000</v>
      </c>
      <c r="AJ106" s="1">
        <v>342927000</v>
      </c>
      <c r="AK106" s="1">
        <v>416248000</v>
      </c>
      <c r="AL106" s="1">
        <v>503421000</v>
      </c>
      <c r="AM106" s="39">
        <f>AL106*(1+$AT$106)</f>
        <v>534585184.94209158</v>
      </c>
      <c r="AN106" s="39">
        <f t="shared" ref="AN106:AQ106" si="9">AM106*(1+$AT$106)</f>
        <v>567678583.05388582</v>
      </c>
      <c r="AO106" s="39">
        <f t="shared" si="9"/>
        <v>602820621.92384911</v>
      </c>
      <c r="AP106" s="39">
        <f t="shared" si="9"/>
        <v>640138122.28347158</v>
      </c>
      <c r="AQ106" s="39">
        <f t="shared" si="9"/>
        <v>679765755.6784339</v>
      </c>
      <c r="AR106" s="40" t="s">
        <v>146</v>
      </c>
      <c r="AS106" s="41" t="s">
        <v>147</v>
      </c>
      <c r="AT106" s="42">
        <f>(SUM(AM4:AQ4)/5)</f>
        <v>6.1904817125411161E-2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0"/>
      <c r="AN107" s="40"/>
      <c r="AO107" s="40"/>
      <c r="AP107" s="40"/>
      <c r="AQ107" s="43">
        <f>AQ106*(1+AT107)/(AT108-AT107)</f>
        <v>10937098330.517422</v>
      </c>
      <c r="AR107" s="44" t="s">
        <v>148</v>
      </c>
      <c r="AS107" s="45" t="s">
        <v>149</v>
      </c>
      <c r="AT107" s="46">
        <v>2.5000000000000001E-2</v>
      </c>
    </row>
    <row r="108" spans="1:46" ht="19" x14ac:dyDescent="0.25">
      <c r="AM108" s="43">
        <f t="shared" ref="AM108:AO108" si="10">AM107+AM106</f>
        <v>534585184.94209158</v>
      </c>
      <c r="AN108" s="43">
        <f t="shared" si="10"/>
        <v>567678583.05388582</v>
      </c>
      <c r="AO108" s="43">
        <f t="shared" si="10"/>
        <v>602820621.92384911</v>
      </c>
      <c r="AP108" s="43">
        <f>AP107+AP106</f>
        <v>640138122.28347158</v>
      </c>
      <c r="AQ108" s="43">
        <f>AQ107+AQ106</f>
        <v>11616864086.195856</v>
      </c>
      <c r="AR108" s="44" t="s">
        <v>144</v>
      </c>
      <c r="AS108" s="47" t="s">
        <v>150</v>
      </c>
      <c r="AT108" s="48">
        <f>AT105</f>
        <v>8.870610179358529E-2</v>
      </c>
    </row>
    <row r="109" spans="1:46" ht="19" x14ac:dyDescent="0.25">
      <c r="AM109" s="61" t="s">
        <v>151</v>
      </c>
      <c r="AN109" s="62"/>
    </row>
    <row r="110" spans="1:46" ht="20" x14ac:dyDescent="0.25">
      <c r="AM110" s="49" t="s">
        <v>152</v>
      </c>
      <c r="AN110" s="50">
        <f>NPV(AT108,AM108,AN108,AO108,AP108,AQ108)</f>
        <v>9487904731.1042194</v>
      </c>
    </row>
    <row r="111" spans="1:46" ht="20" x14ac:dyDescent="0.25">
      <c r="AM111" s="49" t="s">
        <v>153</v>
      </c>
      <c r="AN111" s="50">
        <f>AL40</f>
        <v>133202000</v>
      </c>
    </row>
    <row r="112" spans="1:46" ht="20" x14ac:dyDescent="0.25">
      <c r="AM112" s="49" t="s">
        <v>140</v>
      </c>
      <c r="AN112" s="50">
        <f>AT99</f>
        <v>1912230000</v>
      </c>
    </row>
    <row r="113" spans="39:40" ht="20" x14ac:dyDescent="0.25">
      <c r="AM113" s="49" t="s">
        <v>154</v>
      </c>
      <c r="AN113" s="50">
        <f>AN110+AN111-AN112</f>
        <v>7708876731.1042194</v>
      </c>
    </row>
    <row r="114" spans="39:40" ht="20" x14ac:dyDescent="0.25">
      <c r="AM114" s="49" t="s">
        <v>155</v>
      </c>
      <c r="AN114" s="51">
        <f>AL34*(1+(5*AR16))</f>
        <v>21198791.334987625</v>
      </c>
    </row>
    <row r="115" spans="39:40" ht="20" x14ac:dyDescent="0.25">
      <c r="AM115" s="52" t="s">
        <v>156</v>
      </c>
      <c r="AN115" s="53">
        <f>AN113/AN114</f>
        <v>363.64699332556165</v>
      </c>
    </row>
    <row r="116" spans="39:40" ht="20" x14ac:dyDescent="0.25">
      <c r="AM116" s="49" t="s">
        <v>157</v>
      </c>
      <c r="AN116" s="65" cm="1">
        <f t="array" ref="AN116">_FV(A1,"Price")</f>
        <v>672.42</v>
      </c>
    </row>
    <row r="117" spans="39:40" ht="20" x14ac:dyDescent="0.25">
      <c r="AM117" s="54" t="s">
        <v>158</v>
      </c>
      <c r="AN117" s="55">
        <f>AN115/AN116-1</f>
        <v>-0.45919664298271667</v>
      </c>
    </row>
    <row r="118" spans="39:40" ht="20" x14ac:dyDescent="0.25">
      <c r="AM118" s="54" t="s">
        <v>159</v>
      </c>
      <c r="AN118" s="56" t="str">
        <f>IF(AN115&gt;AN116,"BUY","SELL")</f>
        <v>SELL</v>
      </c>
    </row>
  </sheetData>
  <mergeCells count="6">
    <mergeCell ref="AM109:AN109"/>
    <mergeCell ref="AS83:AT83"/>
    <mergeCell ref="AS84:AT84"/>
    <mergeCell ref="AS93:AT93"/>
    <mergeCell ref="AS98:AT98"/>
    <mergeCell ref="AS104:AT10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2023-03-13T05:11:11Z</dcterms:created>
  <dcterms:modified xsi:type="dcterms:W3CDTF">2023-04-08T07:39:26Z</dcterms:modified>
</cp:coreProperties>
</file>