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88AA8CFF-FD04-2044-A58E-584EE0BB515C}"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10" hidden="1">'Sheet 1'!$B$19:$M$19</definedName>
    <definedName name="_xlchart.v1.11" hidden="1">'Sheet 1'!$B$3:$M$3</definedName>
    <definedName name="_xlchart.v1.12" hidden="1">'Sheet 1'!$A$106</definedName>
    <definedName name="_xlchart.v1.13" hidden="1">'Sheet 1'!$A$19</definedName>
    <definedName name="_xlchart.v1.14" hidden="1">'Sheet 1'!$B$106:$M$106</definedName>
    <definedName name="_xlchart.v1.15" hidden="1">'Sheet 1'!$B$19:$M$19</definedName>
    <definedName name="_xlchart.v1.16" hidden="1">'Sheet 1'!$B$3:$M$3</definedName>
    <definedName name="_xlchart.v1.6" hidden="1">'Sheet 1'!$A$106</definedName>
    <definedName name="_xlchart.v1.7" hidden="1">'Sheet 1'!$A$19</definedName>
    <definedName name="_xlchart.v1.8" hidden="1">'Sheet 1'!$A$3</definedName>
    <definedName name="_xlchart.v1.9" hidden="1">'Sheet 1'!$B$106:$M$106</definedName>
    <definedName name="_xlchart.v2.0" hidden="1">'Sheet 1'!$A$106</definedName>
    <definedName name="_xlchart.v2.1" hidden="1">'Sheet 1'!$A$19</definedName>
    <definedName name="_xlchart.v2.2" hidden="1">'Sheet 1'!$A$3</definedName>
    <definedName name="_xlchart.v2.3" hidden="1">'Sheet 1'!$B$106:$M$106</definedName>
    <definedName name="_xlchart.v2.4" hidden="1">'Sheet 1'!$B$19:$M$19</definedName>
    <definedName name="_xlchart.v2.5" hidden="1">'Sheet 1'!$B$3:$M$3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c r="O106" i="1"/>
  <c r="P106" i="1"/>
  <c r="Q106" i="1"/>
  <c r="R106" i="1"/>
  <c r="N106" i="1"/>
  <c r="U101" i="1" a="1"/>
  <c r="U101" i="1"/>
  <c r="U95" i="1" a="1"/>
  <c r="U95" i="1"/>
  <c r="U86" i="1"/>
  <c r="U87" i="1"/>
  <c r="U99" i="1"/>
  <c r="U103" i="1"/>
  <c r="U100" i="1"/>
  <c r="U85" i="1"/>
  <c r="U88" i="1"/>
  <c r="U89" i="1"/>
  <c r="U90" i="1"/>
  <c r="U91" i="1"/>
  <c r="U92" i="1"/>
  <c r="U102" i="1"/>
  <c r="U97" i="1"/>
  <c r="U105" i="1"/>
  <c r="U108" i="1"/>
  <c r="N108" i="1"/>
  <c r="O108" i="1"/>
  <c r="P108" i="1"/>
  <c r="Q108" i="1"/>
  <c r="R107" i="1"/>
  <c r="R108" i="1"/>
  <c r="O110" i="1"/>
  <c r="O111" i="1"/>
  <c r="O112" i="1"/>
  <c r="O113" i="1"/>
  <c r="S16" i="1"/>
  <c r="O114" i="1"/>
  <c r="O115" i="1"/>
  <c r="O118" i="1"/>
  <c r="O117" i="1"/>
  <c r="N4" i="1"/>
  <c r="O4" i="1"/>
  <c r="P4" i="1"/>
  <c r="Q4" i="1"/>
  <c r="R4" i="1"/>
  <c r="U106" i="1"/>
  <c r="S19" i="1"/>
  <c r="V16" i="1"/>
  <c r="U16" i="1"/>
  <c r="T16" i="1"/>
  <c r="V13" i="1"/>
  <c r="U13" i="1"/>
  <c r="T13" i="1"/>
  <c r="S13" i="1"/>
  <c r="V10" i="1"/>
  <c r="U10" i="1"/>
  <c r="T10" i="1"/>
  <c r="S10" i="1"/>
  <c r="V7" i="1"/>
  <c r="U7" i="1"/>
  <c r="T7" i="1"/>
  <c r="S7" i="1"/>
  <c r="V4" i="1"/>
  <c r="U4" i="1"/>
  <c r="T4" i="1"/>
  <c r="S4" i="1"/>
  <c r="L9" i="1"/>
  <c r="M9" i="1"/>
  <c r="L13" i="1"/>
  <c r="M13" i="1"/>
  <c r="L20" i="1"/>
  <c r="M20" i="1"/>
  <c r="L29" i="1"/>
  <c r="M29" i="1"/>
  <c r="L35" i="1"/>
  <c r="M35" i="1"/>
  <c r="L80" i="1"/>
  <c r="M80" i="1"/>
  <c r="L89" i="1"/>
  <c r="M89" i="1"/>
  <c r="L105" i="1"/>
  <c r="M105"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M4" i="1"/>
  <c r="L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<sst xmlns="http://schemas.openxmlformats.org/spreadsheetml/2006/main" count="415" uniqueCount="160">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</sst>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LNTH</a:t>
            </a:r>
            <a:endParaRPr lang="en-US"/>
          </a:p>
        </c:rich>
      </c:tx>
      <c:layout>
        <c:manualLayout>
          <c:xMode val="edge"/>
          <c:yMode val="edge"/>
          <c:x val="0.47020858319862324"/>
          <c:y val="2.573852240614835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284768211920523E-2"/>
          <c:y val="0.11589354679786622"/>
          <c:w val="0.88830463576158936"/>
          <c:h val="0.7440181426183133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356292000</c:v>
                </c:pt>
                <c:pt idx="1">
                  <c:v>288105000</c:v>
                </c:pt>
                <c:pt idx="2">
                  <c:v>283672000</c:v>
                </c:pt>
                <c:pt idx="3">
                  <c:v>301600000</c:v>
                </c:pt>
                <c:pt idx="4">
                  <c:v>293461000</c:v>
                </c:pt>
                <c:pt idx="5">
                  <c:v>301853000</c:v>
                </c:pt>
                <c:pt idx="6">
                  <c:v>331378000</c:v>
                </c:pt>
                <c:pt idx="7">
                  <c:v>343374000</c:v>
                </c:pt>
                <c:pt idx="8">
                  <c:v>347337000</c:v>
                </c:pt>
                <c:pt idx="9">
                  <c:v>339410000</c:v>
                </c:pt>
                <c:pt idx="10">
                  <c:v>425208000</c:v>
                </c:pt>
                <c:pt idx="11">
                  <c:v>935061000</c:v>
                </c:pt>
              </c:numCache>
            </c:numRef>
          </c:val>
          <c:extLst>
            <c:ext xmlns:c16="http://schemas.microsoft.com/office/drawing/2014/chart" uri="{C3380CC4-5D6E-409C-BE32-E72D297353CC}">
              <c16:uniqueId val="{00000000-F996-9D4A-9114-BFC99C057F7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17244000</c:v>
                </c:pt>
                <c:pt idx="1">
                  <c:v>26860000</c:v>
                </c:pt>
                <c:pt idx="2">
                  <c:v>7529000</c:v>
                </c:pt>
                <c:pt idx="3">
                  <c:v>58173000</c:v>
                </c:pt>
                <c:pt idx="4">
                  <c:v>46588000</c:v>
                </c:pt>
                <c:pt idx="5">
                  <c:v>73175000</c:v>
                </c:pt>
                <c:pt idx="6">
                  <c:v>77280000</c:v>
                </c:pt>
                <c:pt idx="7">
                  <c:v>80882000</c:v>
                </c:pt>
                <c:pt idx="8">
                  <c:v>55623000</c:v>
                </c:pt>
                <c:pt idx="9">
                  <c:v>22689000</c:v>
                </c:pt>
                <c:pt idx="10">
                  <c:v>-24998000</c:v>
                </c:pt>
                <c:pt idx="11">
                  <c:v>81833000</c:v>
                </c:pt>
              </c:numCache>
            </c:numRef>
          </c:val>
          <c:extLst>
            <c:ext xmlns:c16="http://schemas.microsoft.com/office/drawing/2014/chart" uri="{C3380CC4-5D6E-409C-BE32-E72D297353CC}">
              <c16:uniqueId val="{00000001-F996-9D4A-9114-BFC99C057F7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15515000</c:v>
                </c:pt>
                <c:pt idx="1">
                  <c:v>-8292000</c:v>
                </c:pt>
                <c:pt idx="2">
                  <c:v>-20582000</c:v>
                </c:pt>
                <c:pt idx="3">
                  <c:v>3453000</c:v>
                </c:pt>
                <c:pt idx="4">
                  <c:v>8611000</c:v>
                </c:pt>
                <c:pt idx="5">
                  <c:v>42244000</c:v>
                </c:pt>
                <c:pt idx="6">
                  <c:v>37234000</c:v>
                </c:pt>
                <c:pt idx="7">
                  <c:v>41061000</c:v>
                </c:pt>
                <c:pt idx="8">
                  <c:v>58323000</c:v>
                </c:pt>
                <c:pt idx="9">
                  <c:v>3922000</c:v>
                </c:pt>
                <c:pt idx="10">
                  <c:v>41776000</c:v>
                </c:pt>
                <c:pt idx="11">
                  <c:v>263434000</c:v>
                </c:pt>
              </c:numCache>
            </c:numRef>
          </c:val>
          <c:extLst>
            <c:ext xmlns:c16="http://schemas.microsoft.com/office/drawing/2014/chart" uri="{C3380CC4-5D6E-409C-BE32-E72D297353CC}">
              <c16:uniqueId val="{00000002-F996-9D4A-9114-BFC99C057F77}"/>
            </c:ext>
          </c:extLst>
        </c:ser>
        <c:dLbls>
          <c:showLegendKey val="0"/>
          <c:showVal val="0"/>
          <c:showCatName val="0"/>
          <c:showSerName val="0"/>
          <c:showPercent val="0"/>
          <c:showBubbleSize val="0"/>
        </c:dLbls>
        <c:gapWidth val="100"/>
        <c:overlap val="-24"/>
        <c:axId val="1413364816"/>
        <c:axId val="1413367088"/>
      </c:barChart>
      <c:catAx>
        <c:axId val="1413364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3367088"/>
        <c:crosses val="autoZero"/>
        <c:auto val="1"/>
        <c:lblAlgn val="ctr"/>
        <c:lblOffset val="100"/>
        <c:noMultiLvlLbl val="0"/>
      </c:catAx>
      <c:valAx>
        <c:axId val="1413367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3364816"/>
        <c:crosses val="autoZero"/>
        <c:crossBetween val="between"/>
      </c:valAx>
      <c:spPr>
        <a:noFill/>
        <a:ln>
          <a:noFill/>
        </a:ln>
        <a:effectLst/>
      </c:spPr>
    </c:plotArea>
    <c:legend>
      <c:legendPos val="b"/>
      <c:layout>
        <c:manualLayout>
          <c:xMode val="edge"/>
          <c:yMode val="edge"/>
          <c:x val="0.36808979506700734"/>
          <c:y val="0.92395786620463838"/>
          <c:w val="0.30355550920373364"/>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31750</xdr:colOff>
      <xdr:row>108</xdr:row>
      <xdr:rowOff>17463</xdr:rowOff>
    </xdr:from>
    <xdr:to>
      <xdr:col>21</xdr:col>
      <xdr:colOff>0</xdr:colOff>
      <xdr:row>132</xdr:row>
      <xdr:rowOff>31750</xdr:rowOff>
    </xdr:to>
    <xdr:graphicFrame macro="">
      <xdr:nvGraphicFramePr>
        <xdr:cNvPr id="2" name="Chart 1">
          <a:extLst>
            <a:ext uri="{FF2B5EF4-FFF2-40B4-BE49-F238E27FC236}">
              <a16:creationId xmlns:a16="http://schemas.microsoft.com/office/drawing/2014/main" id="{2F344DD8-B094-8E69-838B-36967CC23C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https://www.bing.com/financeapi/forcetrigger?t=a1x1pr&amp;q=XNAS%3aLNTH&amp;form=skydnc</v>
    <v>Learn more on Bing</v>
  </rv>
  <rv s="1">
    <v>0</v>
    <v>LANTHEUS HOLDINGS, INC. (XNAS:LNTH)</v>
    <v>2</v>
    <v>3</v>
    <v>Finance</v>
    <v>4</v>
    <v>en-US</v>
    <v>a1x1pr</v>
    <v>268435456</v>
    <v>1</v>
    <v>Powered by Refinitiv</v>
    <v>91.62</v>
    <v>47.46</v>
    <v>0.65810000000000002</v>
    <v>-0.26</v>
    <v>-2.8639999999999998E-3</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91.62</v>
    <v>Healthcare Equipment &amp; Supplies</v>
    <v>Stock</v>
    <v>45035.964951678128</v>
    <v>0</v>
    <v>90.254999999999995</v>
    <v>6174423927</v>
    <v>LANTHEUS HOLDINGS, INC.</v>
    <v>LANTHEUS HOLDINGS, INC.</v>
    <v>90.79</v>
    <v>263.83589999999998</v>
    <v>90.79</v>
    <v>90.53</v>
    <v>68203070</v>
    <v>LNTH</v>
    <v>LANTHEUS HOLDINGS, INC. (XNAS:LNTH)</v>
    <v>775877</v>
    <v>946725</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521036/000119312517053986/0001193125-17-053986-index.html" TargetMode="External"/><Relationship Id="rId18" Type="http://schemas.openxmlformats.org/officeDocument/2006/relationships/hyperlink" Target="https://www.sec.gov/Archives/edgar/data/1521036/000162828020002197/0001628280-20-002197-index.html" TargetMode="External"/><Relationship Id="rId26" Type="http://schemas.openxmlformats.org/officeDocument/2006/relationships/hyperlink" Target="https://finbox.com/NASDAQGM:LNTH/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21036/000162828021003336/0001628280-21-003336-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21036/000119312517053986/0001193125-17-053986-index.html" TargetMode="External"/><Relationship Id="rId17" Type="http://schemas.openxmlformats.org/officeDocument/2006/relationships/hyperlink" Target="https://www.sec.gov/Archives/edgar/data/1521036/000162828019001574/0001628280-19-001574-index.html" TargetMode="External"/><Relationship Id="rId25" Type="http://schemas.openxmlformats.org/officeDocument/2006/relationships/hyperlink" Target="https://www.sec.gov/Archives/edgar/data/1521036/000162828023004698/0001628280-23-00469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21036/000162828019001574/0001628280-19-001574-index.html" TargetMode="External"/><Relationship Id="rId20" Type="http://schemas.openxmlformats.org/officeDocument/2006/relationships/hyperlink" Target="https://www.sec.gov/Archives/edgar/data/1521036/000162828021003336/0001628280-21-003336-index.htm" TargetMode="External"/><Relationship Id="rId1" Type="http://schemas.openxmlformats.org/officeDocument/2006/relationships/hyperlink" Target="https://roic.ai/company/LNT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21036/000119312516490104/0001193125-16-490104-index.html" TargetMode="External"/><Relationship Id="rId24" Type="http://schemas.openxmlformats.org/officeDocument/2006/relationships/hyperlink" Target="https://www.sec.gov/Archives/edgar/data/1521036/000162828023004698/0001628280-23-00469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21036/000162828018002261/0001628280-18-002261-index.html" TargetMode="External"/><Relationship Id="rId23" Type="http://schemas.openxmlformats.org/officeDocument/2006/relationships/hyperlink" Target="https://www.sec.gov/Archives/edgar/data/1521036/000162828022003657/0001628280-22-003657-index.htm" TargetMode="External"/><Relationship Id="rId10" Type="http://schemas.openxmlformats.org/officeDocument/2006/relationships/hyperlink" Target="https://www.sec.gov/Archives/edgar/data/1521036/000119312516490104/0001193125-16-490104-index.html" TargetMode="External"/><Relationship Id="rId19" Type="http://schemas.openxmlformats.org/officeDocument/2006/relationships/hyperlink" Target="https://www.sec.gov/Archives/edgar/data/1521036/000162828020002197/0001628280-20-002197-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521036/000162828018002261/0001628280-18-002261-index.html" TargetMode="External"/><Relationship Id="rId22" Type="http://schemas.openxmlformats.org/officeDocument/2006/relationships/hyperlink" Target="https://www.sec.gov/Archives/edgar/data/1521036/000162828022003657/0001628280-22-003657-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L106" activePane="bottomRight" state="frozen"/>
      <selection pane="topRight"/>
      <selection pane="bottomLeft"/>
      <selection pane="bottomRight" activeCell="S135" sqref="S135"/>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v>356292000</v>
      </c>
      <c r="C3" s="1">
        <v>288105000</v>
      </c>
      <c r="D3" s="1">
        <v>283672000</v>
      </c>
      <c r="E3" s="1">
        <v>301600000</v>
      </c>
      <c r="F3" s="1">
        <v>293461000</v>
      </c>
      <c r="G3" s="1">
        <v>301853000</v>
      </c>
      <c r="H3" s="1">
        <v>331378000</v>
      </c>
      <c r="I3" s="1">
        <v>343374000</v>
      </c>
      <c r="J3" s="1">
        <v>347337000</v>
      </c>
      <c r="K3" s="1">
        <v>339410000</v>
      </c>
      <c r="L3" s="1">
        <v>425208000</v>
      </c>
      <c r="M3" s="1">
        <v>935061000</v>
      </c>
      <c r="N3" s="28">
        <v>1157000000</v>
      </c>
      <c r="O3" s="28">
        <v>1293000000</v>
      </c>
      <c r="P3" s="28">
        <v>1402000000</v>
      </c>
      <c r="Q3" s="28">
        <v>1544000000</v>
      </c>
      <c r="R3" s="28">
        <v>1690000000</v>
      </c>
      <c r="S3" s="18" t="s">
        <v>109</v>
      </c>
      <c r="T3" s="19" t="s">
        <v>110</v>
      </c>
      <c r="U3" s="19" t="s">
        <v>111</v>
      </c>
      <c r="V3" s="19" t="s">
        <v>112</v>
      </c>
    </row>
    <row r="4" spans="1:42" ht="19" x14ac:dyDescent="0.25">
      <c r="A4" s="14" t="s">
        <v>94</v>
      </c>
      <c r="B4" s="1"/>
      <c r="C4" s="15">
        <f>(C3/B3)-1</f>
        <v>-0.19137954262234347</v>
      </c>
      <c r="D4" s="15">
        <f>(D3/C3)-1</f>
        <v>-1.5386751358011819E-2</v>
      </c>
      <c r="E4" s="15">
        <f>(E3/D3)-1</f>
        <v>6.319975182605253E-2</v>
      </c>
      <c r="F4" s="15">
        <f t="shared" ref="F4:R4" si="0">(F3/E3)-1</f>
        <v>-2.6986074270556992E-2</v>
      </c>
      <c r="G4" s="15">
        <f t="shared" si="0"/>
        <v>2.859664486933533E-2</v>
      </c>
      <c r="H4" s="16">
        <f t="shared" si="0"/>
        <v>9.7812511387993517E-2</v>
      </c>
      <c r="I4" s="16">
        <f t="shared" si="0"/>
        <v>3.6200351260494035E-2</v>
      </c>
      <c r="J4" s="16">
        <f t="shared" si="0"/>
        <v>1.1541351412745371E-2</v>
      </c>
      <c r="K4" s="16">
        <f t="shared" si="0"/>
        <v>-2.2822215888316011E-2</v>
      </c>
      <c r="L4" s="16">
        <f t="shared" si="0"/>
        <v>0.25278571639020653</v>
      </c>
      <c r="M4" s="16">
        <f t="shared" si="0"/>
        <v>1.1990672800135465</v>
      </c>
      <c r="N4" s="16">
        <f t="shared" si="0"/>
        <v>0.23735242941369594</v>
      </c>
      <c r="O4" s="16">
        <f t="shared" si="0"/>
        <v>0.11754537597234216</v>
      </c>
      <c r="P4" s="16">
        <f t="shared" si="0"/>
        <v>8.4300077339520385E-2</v>
      </c>
      <c r="Q4" s="16">
        <f t="shared" si="0"/>
        <v>0.10128388017118395</v>
      </c>
      <c r="R4" s="16">
        <f t="shared" si="0"/>
        <v>9.4559585492227871E-2</v>
      </c>
      <c r="S4" s="17">
        <f>(M4+L4+K4)/3</f>
        <v>0.47634359350514566</v>
      </c>
      <c r="T4" s="17">
        <f>(M20+L20+K20)/3</f>
        <v>-2.3224808205563789</v>
      </c>
      <c r="U4" s="17">
        <f>(M29+L29+K29)/3</f>
        <v>0.49042857388901978</v>
      </c>
      <c r="V4" s="17">
        <f>(M105+L105+K105)/3</f>
        <v>4.6749413028938003</v>
      </c>
      <c r="AH4" s="16"/>
      <c r="AI4" s="16"/>
      <c r="AJ4" s="16"/>
      <c r="AK4" s="16"/>
      <c r="AL4" s="16"/>
      <c r="AM4" s="16"/>
      <c r="AN4" s="16"/>
      <c r="AO4" s="16"/>
      <c r="AP4" s="16"/>
    </row>
    <row r="5" spans="1:42" ht="19" x14ac:dyDescent="0.25">
      <c r="A5" s="5" t="s">
        <v>2</v>
      </c>
      <c r="B5" s="1">
        <v>261076000</v>
      </c>
      <c r="C5" s="1">
        <v>212908000</v>
      </c>
      <c r="D5" s="1">
        <v>206311000</v>
      </c>
      <c r="E5" s="1">
        <v>176081000</v>
      </c>
      <c r="F5" s="1">
        <v>157939000</v>
      </c>
      <c r="G5" s="1">
        <v>164073000</v>
      </c>
      <c r="H5" s="1">
        <v>169243000</v>
      </c>
      <c r="I5" s="1">
        <v>168489000</v>
      </c>
      <c r="J5" s="1">
        <v>172526000</v>
      </c>
      <c r="K5" s="1">
        <v>200649000</v>
      </c>
      <c r="L5" s="1">
        <v>237513000</v>
      </c>
      <c r="M5" s="1">
        <v>353358000</v>
      </c>
    </row>
    <row r="6" spans="1:42" ht="20" x14ac:dyDescent="0.25">
      <c r="A6" s="6" t="s">
        <v>3</v>
      </c>
      <c r="B6" s="10">
        <v>95216000</v>
      </c>
      <c r="C6" s="10">
        <v>75197000</v>
      </c>
      <c r="D6" s="10">
        <v>77361000</v>
      </c>
      <c r="E6" s="10">
        <v>125519000</v>
      </c>
      <c r="F6" s="10">
        <v>135522000</v>
      </c>
      <c r="G6" s="10">
        <v>137780000</v>
      </c>
      <c r="H6" s="10">
        <v>162135000</v>
      </c>
      <c r="I6" s="10">
        <v>174885000</v>
      </c>
      <c r="J6" s="10">
        <v>174811000</v>
      </c>
      <c r="K6" s="10">
        <v>138761000</v>
      </c>
      <c r="L6" s="10">
        <v>187695000</v>
      </c>
      <c r="M6" s="10">
        <v>581703000</v>
      </c>
      <c r="S6" s="18" t="s">
        <v>113</v>
      </c>
      <c r="T6" s="19" t="s">
        <v>114</v>
      </c>
      <c r="U6" s="19" t="s">
        <v>115</v>
      </c>
      <c r="V6" s="19" t="s">
        <v>116</v>
      </c>
    </row>
    <row r="7" spans="1:42" ht="19" x14ac:dyDescent="0.25">
      <c r="A7" s="5" t="s">
        <v>4</v>
      </c>
      <c r="B7" s="2">
        <v>0.26719999999999999</v>
      </c>
      <c r="C7" s="2">
        <v>0.26100000000000001</v>
      </c>
      <c r="D7" s="2">
        <v>0.2727</v>
      </c>
      <c r="E7" s="2">
        <v>0.41620000000000001</v>
      </c>
      <c r="F7" s="2">
        <v>0.46179999999999999</v>
      </c>
      <c r="G7" s="2">
        <v>0.45639999999999997</v>
      </c>
      <c r="H7" s="2">
        <v>0.48930000000000001</v>
      </c>
      <c r="I7" s="2">
        <v>0.50929999999999997</v>
      </c>
      <c r="J7" s="2">
        <v>0.50329999999999997</v>
      </c>
      <c r="K7" s="2">
        <v>0.4088</v>
      </c>
      <c r="L7" s="2">
        <v>0.44140000000000001</v>
      </c>
      <c r="M7" s="2">
        <v>0.62209999999999999</v>
      </c>
      <c r="S7" s="17">
        <f>M7</f>
        <v>0.62209999999999999</v>
      </c>
      <c r="T7" s="20">
        <f>M21</f>
        <v>8.7499999999999994E-2</v>
      </c>
      <c r="U7" s="20">
        <f>M30</f>
        <v>0.03</v>
      </c>
      <c r="V7" s="20">
        <f>M106/M3</f>
        <v>0.28172921338821744</v>
      </c>
    </row>
    <row r="8" spans="1:42" ht="19" x14ac:dyDescent="0.25">
      <c r="A8" s="5" t="s">
        <v>5</v>
      </c>
      <c r="B8" s="1">
        <v>40945000</v>
      </c>
      <c r="C8" s="1">
        <v>40604000</v>
      </c>
      <c r="D8" s="1">
        <v>30459000</v>
      </c>
      <c r="E8" s="1">
        <v>13673000</v>
      </c>
      <c r="F8" s="1">
        <v>14358000</v>
      </c>
      <c r="G8" s="1">
        <v>12203000</v>
      </c>
      <c r="H8" s="1">
        <v>18125000</v>
      </c>
      <c r="I8" s="1">
        <v>17071000</v>
      </c>
      <c r="J8" s="1">
        <v>20018000</v>
      </c>
      <c r="K8" s="1">
        <v>32788000</v>
      </c>
      <c r="L8" s="1">
        <v>44966000</v>
      </c>
      <c r="M8" s="1">
        <v>311681000</v>
      </c>
    </row>
    <row r="9" spans="1:42" ht="19" customHeight="1" x14ac:dyDescent="0.25">
      <c r="A9" s="14" t="s">
        <v>95</v>
      </c>
      <c r="B9" s="15">
        <f>B8/B3</f>
        <v>0.11491978489553513</v>
      </c>
      <c r="C9" s="15">
        <f t="shared" ref="C9:M9" si="1">C8/C3</f>
        <v>0.14093472865795456</v>
      </c>
      <c r="D9" s="15">
        <f t="shared" si="1"/>
        <v>0.10737400941932937</v>
      </c>
      <c r="E9" s="15">
        <f t="shared" si="1"/>
        <v>4.5334880636604777E-2</v>
      </c>
      <c r="F9" s="15">
        <f t="shared" si="1"/>
        <v>4.8926433154661095E-2</v>
      </c>
      <c r="G9" s="15">
        <f t="shared" si="1"/>
        <v>4.0426962793147656E-2</v>
      </c>
      <c r="H9" s="15">
        <f t="shared" si="1"/>
        <v>5.4695845831648451E-2</v>
      </c>
      <c r="I9" s="15">
        <f t="shared" si="1"/>
        <v>4.9715470594745091E-2</v>
      </c>
      <c r="J9" s="15">
        <f t="shared" si="1"/>
        <v>5.7632788905299465E-2</v>
      </c>
      <c r="K9" s="15">
        <f t="shared" si="1"/>
        <v>9.6602928611413924E-2</v>
      </c>
      <c r="L9" s="15">
        <f t="shared" si="1"/>
        <v>0.1057505973547064</v>
      </c>
      <c r="M9" s="15">
        <f t="shared" si="1"/>
        <v>0.33332691663966307</v>
      </c>
      <c r="N9" s="15"/>
      <c r="O9" s="15"/>
      <c r="P9" s="15"/>
      <c r="Q9" s="15"/>
      <c r="S9" s="18" t="s">
        <v>96</v>
      </c>
      <c r="T9" s="19" t="s">
        <v>97</v>
      </c>
      <c r="U9" s="19" t="s">
        <v>98</v>
      </c>
      <c r="V9" s="19" t="s">
        <v>99</v>
      </c>
      <c r="AH9" s="15"/>
      <c r="AI9" s="15"/>
      <c r="AJ9" s="15"/>
      <c r="AK9" s="15"/>
      <c r="AL9" s="15"/>
    </row>
    <row r="10" spans="1:42" ht="19" x14ac:dyDescent="0.25">
      <c r="A10" s="5" t="s">
        <v>6</v>
      </c>
      <c r="B10" s="1">
        <v>32862000</v>
      </c>
      <c r="C10" s="1">
        <v>32520000</v>
      </c>
      <c r="D10" s="1">
        <v>33036000</v>
      </c>
      <c r="E10" s="1">
        <v>37313000</v>
      </c>
      <c r="F10" s="1">
        <v>43894000</v>
      </c>
      <c r="G10" s="1">
        <v>38832000</v>
      </c>
      <c r="H10" s="1">
        <v>49842000</v>
      </c>
      <c r="I10" s="1">
        <v>50167000</v>
      </c>
      <c r="J10" s="1">
        <v>61244000</v>
      </c>
      <c r="K10" s="1">
        <v>69270000</v>
      </c>
      <c r="L10" s="1">
        <v>150395000</v>
      </c>
      <c r="M10" s="1">
        <v>133584000</v>
      </c>
      <c r="S10" s="17">
        <f>M9</f>
        <v>0.33332691663966307</v>
      </c>
      <c r="T10" s="20">
        <f>M13</f>
        <v>0.25006603847235637</v>
      </c>
      <c r="U10" s="20">
        <f>M80</f>
        <v>3.1294215029821583E-2</v>
      </c>
      <c r="V10" s="20">
        <f>M89</f>
        <v>0</v>
      </c>
    </row>
    <row r="11" spans="1:42" ht="19" x14ac:dyDescent="0.25">
      <c r="A11" s="5" t="s">
        <v>7</v>
      </c>
      <c r="B11" s="1">
        <v>38689000</v>
      </c>
      <c r="C11" s="1">
        <v>37437000</v>
      </c>
      <c r="D11" s="1">
        <v>35227000</v>
      </c>
      <c r="E11" s="1">
        <v>35116000</v>
      </c>
      <c r="F11" s="1">
        <v>34740000</v>
      </c>
      <c r="G11" s="1">
        <v>36542000</v>
      </c>
      <c r="H11" s="1">
        <v>42315000</v>
      </c>
      <c r="I11" s="1">
        <v>43159000</v>
      </c>
      <c r="J11" s="1">
        <v>41888000</v>
      </c>
      <c r="K11" s="1">
        <v>40901000</v>
      </c>
      <c r="L11" s="1">
        <v>68422000</v>
      </c>
      <c r="M11" s="1">
        <v>100243000</v>
      </c>
    </row>
    <row r="12" spans="1:42" ht="20" x14ac:dyDescent="0.25">
      <c r="A12" s="5" t="s">
        <v>8</v>
      </c>
      <c r="B12" s="1">
        <v>71551000</v>
      </c>
      <c r="C12" s="1">
        <v>69957000</v>
      </c>
      <c r="D12" s="1">
        <v>68263000</v>
      </c>
      <c r="E12" s="1">
        <v>72429000</v>
      </c>
      <c r="F12" s="1">
        <v>78634000</v>
      </c>
      <c r="G12" s="1">
        <v>75374000</v>
      </c>
      <c r="H12" s="1">
        <v>92157000</v>
      </c>
      <c r="I12" s="1">
        <v>93326000</v>
      </c>
      <c r="J12" s="1">
        <v>103132000</v>
      </c>
      <c r="K12" s="1">
        <v>110171000</v>
      </c>
      <c r="L12" s="1">
        <v>218817000</v>
      </c>
      <c r="M12" s="1">
        <v>233827000</v>
      </c>
      <c r="S12" s="18" t="s">
        <v>117</v>
      </c>
      <c r="T12" s="19" t="s">
        <v>118</v>
      </c>
      <c r="U12" s="19" t="s">
        <v>119</v>
      </c>
      <c r="V12" s="19" t="s">
        <v>120</v>
      </c>
    </row>
    <row r="13" spans="1:42" ht="19" x14ac:dyDescent="0.25">
      <c r="A13" s="14" t="s">
        <v>100</v>
      </c>
      <c r="B13" s="15">
        <f>B12/B3</f>
        <v>0.20082123651387065</v>
      </c>
      <c r="C13" s="15">
        <f t="shared" ref="C13:M13" si="2">C12/C3</f>
        <v>0.24281772270526369</v>
      </c>
      <c r="D13" s="15">
        <f t="shared" si="2"/>
        <v>0.2406405990016639</v>
      </c>
      <c r="E13" s="15">
        <f t="shared" si="2"/>
        <v>0.24014920424403183</v>
      </c>
      <c r="F13" s="15">
        <f t="shared" si="2"/>
        <v>0.2679538337291838</v>
      </c>
      <c r="G13" s="15">
        <f t="shared" si="2"/>
        <v>0.24970432627802275</v>
      </c>
      <c r="H13" s="15">
        <f t="shared" si="2"/>
        <v>0.27810234837557107</v>
      </c>
      <c r="I13" s="15">
        <f t="shared" si="2"/>
        <v>0.27179110823766506</v>
      </c>
      <c r="J13" s="15">
        <f t="shared" si="2"/>
        <v>0.29692200946055269</v>
      </c>
      <c r="K13" s="15">
        <f t="shared" si="2"/>
        <v>0.32459562181432483</v>
      </c>
      <c r="L13" s="15">
        <f t="shared" si="2"/>
        <v>0.51461167240503469</v>
      </c>
      <c r="M13" s="15">
        <f t="shared" si="2"/>
        <v>0.25006603847235637</v>
      </c>
      <c r="N13" s="15"/>
      <c r="O13" s="15"/>
      <c r="P13" s="15"/>
      <c r="Q13" s="15"/>
      <c r="S13" s="17">
        <f>M28/M72</f>
        <v>6.2769066995864889E-2</v>
      </c>
      <c r="T13" s="20">
        <f>M28/M54</f>
        <v>2.1242633914042526E-2</v>
      </c>
      <c r="U13" s="20">
        <f>M22/(M72+M56+M61)</f>
        <v>3.6007293976500501E-2</v>
      </c>
      <c r="V13" s="21">
        <f>M67/M72</f>
        <v>1.9548627185243332</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42" ht="20" x14ac:dyDescent="0.25">
      <c r="A15" s="5" t="s">
        <v>10</v>
      </c>
      <c r="B15" s="1">
        <v>112496000</v>
      </c>
      <c r="C15" s="1">
        <v>110561000</v>
      </c>
      <c r="D15" s="1">
        <v>98722000</v>
      </c>
      <c r="E15" s="1">
        <v>86102000</v>
      </c>
      <c r="F15" s="1">
        <v>92992000</v>
      </c>
      <c r="G15" s="1">
        <v>87577000</v>
      </c>
      <c r="H15" s="1">
        <v>110282000</v>
      </c>
      <c r="I15" s="1">
        <v>110397000</v>
      </c>
      <c r="J15" s="1">
        <v>123150000</v>
      </c>
      <c r="K15" s="1">
        <v>142959000</v>
      </c>
      <c r="L15" s="1">
        <v>263783000</v>
      </c>
      <c r="M15" s="1">
        <v>545508000</v>
      </c>
      <c r="S15" s="18" t="s">
        <v>121</v>
      </c>
      <c r="T15" s="19" t="s">
        <v>122</v>
      </c>
      <c r="U15" s="19" t="s">
        <v>123</v>
      </c>
      <c r="V15" s="19" t="s">
        <v>124</v>
      </c>
    </row>
    <row r="16" spans="1:42" ht="19" x14ac:dyDescent="0.25">
      <c r="A16" s="5" t="s">
        <v>11</v>
      </c>
      <c r="B16" s="1">
        <v>373572000</v>
      </c>
      <c r="C16" s="1">
        <v>323469000</v>
      </c>
      <c r="D16" s="1">
        <v>305033000</v>
      </c>
      <c r="E16" s="1">
        <v>262183000</v>
      </c>
      <c r="F16" s="1">
        <v>250931000</v>
      </c>
      <c r="G16" s="1">
        <v>251650000</v>
      </c>
      <c r="H16" s="1">
        <v>279525000</v>
      </c>
      <c r="I16" s="1">
        <v>278886000</v>
      </c>
      <c r="J16" s="1">
        <v>295676000</v>
      </c>
      <c r="K16" s="1">
        <v>343608000</v>
      </c>
      <c r="L16" s="1">
        <v>501296000</v>
      </c>
      <c r="M16" s="1">
        <v>898866000</v>
      </c>
      <c r="S16" s="29">
        <f>(M35+L35+K35+J35+I35)/5</f>
        <v>0.13723445469088275</v>
      </c>
      <c r="T16" s="30">
        <f>U101/M3</f>
        <v>6.6032311549727769</v>
      </c>
      <c r="U16" s="30">
        <f>U101/M28</f>
        <v>219.98873862543201</v>
      </c>
      <c r="V16" s="31">
        <f>U101/M106</f>
        <v>23.438219542655844</v>
      </c>
    </row>
    <row r="17" spans="1:47" ht="19" x14ac:dyDescent="0.25">
      <c r="A17" s="5" t="s">
        <v>12</v>
      </c>
      <c r="B17" s="1">
        <v>37658000</v>
      </c>
      <c r="C17" s="1">
        <v>42014000</v>
      </c>
      <c r="D17" s="1">
        <v>42915000</v>
      </c>
      <c r="E17" s="1">
        <v>42288000</v>
      </c>
      <c r="F17" s="1">
        <v>38715000</v>
      </c>
      <c r="G17" s="1">
        <v>26618000</v>
      </c>
      <c r="H17" s="1">
        <v>18410000</v>
      </c>
      <c r="I17" s="1">
        <v>17405000</v>
      </c>
      <c r="J17" s="1">
        <v>13617000</v>
      </c>
      <c r="K17" s="1">
        <v>9479000</v>
      </c>
      <c r="L17" s="1">
        <v>7752000</v>
      </c>
      <c r="M17" s="1">
        <v>7185000</v>
      </c>
    </row>
    <row r="18" spans="1:47" ht="20" x14ac:dyDescent="0.25">
      <c r="A18" s="5" t="s">
        <v>13</v>
      </c>
      <c r="B18" s="1">
        <v>32762000</v>
      </c>
      <c r="C18" s="1">
        <v>27402000</v>
      </c>
      <c r="D18" s="1">
        <v>25155000</v>
      </c>
      <c r="E18" s="1">
        <v>18251000</v>
      </c>
      <c r="F18" s="1">
        <v>19651000</v>
      </c>
      <c r="G18" s="1">
        <v>18263000</v>
      </c>
      <c r="H18" s="1">
        <v>19231000</v>
      </c>
      <c r="I18" s="1">
        <v>13929000</v>
      </c>
      <c r="J18" s="1">
        <v>13379000</v>
      </c>
      <c r="K18" s="1">
        <v>24689000</v>
      </c>
      <c r="L18" s="1">
        <v>42288000</v>
      </c>
      <c r="M18" s="1">
        <v>47929000</v>
      </c>
      <c r="S18" s="18" t="s">
        <v>125</v>
      </c>
    </row>
    <row r="19" spans="1:47" ht="19" x14ac:dyDescent="0.25">
      <c r="A19" s="6" t="s">
        <v>14</v>
      </c>
      <c r="B19" s="10">
        <v>17244000</v>
      </c>
      <c r="C19" s="10">
        <v>26860000</v>
      </c>
      <c r="D19" s="10">
        <v>7529000</v>
      </c>
      <c r="E19" s="10">
        <v>58173000</v>
      </c>
      <c r="F19" s="10">
        <v>46588000</v>
      </c>
      <c r="G19" s="10">
        <v>73175000</v>
      </c>
      <c r="H19" s="10">
        <v>77280000</v>
      </c>
      <c r="I19" s="10">
        <v>80882000</v>
      </c>
      <c r="J19" s="10">
        <v>55623000</v>
      </c>
      <c r="K19" s="10">
        <v>22689000</v>
      </c>
      <c r="L19" s="10">
        <v>-24998000</v>
      </c>
      <c r="M19" s="10">
        <v>81833000</v>
      </c>
      <c r="S19" s="32">
        <f>M40-M56-M61</f>
        <v>-142414000</v>
      </c>
    </row>
    <row r="20" spans="1:47" ht="19" customHeight="1" x14ac:dyDescent="0.25">
      <c r="A20" s="14" t="s">
        <v>101</v>
      </c>
      <c r="B20" s="1"/>
      <c r="C20" s="15">
        <f>(C19/B19)-1</f>
        <v>0.55764323822778938</v>
      </c>
      <c r="D20" s="15">
        <f>(D19/C19)-1</f>
        <v>-0.71969471332836932</v>
      </c>
      <c r="E20" s="15">
        <f>(E19/D19)-1</f>
        <v>6.7265241067870898</v>
      </c>
      <c r="F20" s="15">
        <f t="shared" ref="F20:K20" si="3">(F19/E19)-1</f>
        <v>-0.19914737077338285</v>
      </c>
      <c r="G20" s="15">
        <f t="shared" si="3"/>
        <v>0.57068343779514041</v>
      </c>
      <c r="H20" s="15">
        <f t="shared" si="3"/>
        <v>5.6098394260334805E-2</v>
      </c>
      <c r="I20" s="15">
        <f t="shared" si="3"/>
        <v>4.660973084886133E-2</v>
      </c>
      <c r="J20" s="15">
        <f t="shared" si="3"/>
        <v>-0.31229445364852504</v>
      </c>
      <c r="K20" s="15">
        <f t="shared" si="3"/>
        <v>-0.59209319885658807</v>
      </c>
      <c r="L20" s="15">
        <f t="shared" ref="L20" si="4">(L19/K19)-1</f>
        <v>-2.1017673762616247</v>
      </c>
      <c r="M20" s="15">
        <f t="shared" ref="M20" si="5">(M19/L19)-1</f>
        <v>-4.2735818865509234</v>
      </c>
      <c r="N20" s="15"/>
      <c r="O20" s="15"/>
      <c r="P20" s="15"/>
      <c r="Q20" s="15"/>
      <c r="R20" s="15"/>
      <c r="S20" s="15"/>
      <c r="T20" s="15"/>
      <c r="U20" s="15"/>
      <c r="V20" s="15"/>
      <c r="AH20" s="15"/>
      <c r="AI20" s="15"/>
      <c r="AJ20" s="15"/>
      <c r="AK20" s="15"/>
      <c r="AL20" s="15"/>
      <c r="AT20" s="15"/>
      <c r="AU20" s="15"/>
    </row>
    <row r="21" spans="1:47" ht="19" x14ac:dyDescent="0.25">
      <c r="A21" s="5" t="s">
        <v>15</v>
      </c>
      <c r="B21" s="2">
        <v>4.8399999999999999E-2</v>
      </c>
      <c r="C21" s="2">
        <v>9.3200000000000005E-2</v>
      </c>
      <c r="D21" s="2">
        <v>2.6499999999999999E-2</v>
      </c>
      <c r="E21" s="2">
        <v>0.19289999999999999</v>
      </c>
      <c r="F21" s="2">
        <v>0.1588</v>
      </c>
      <c r="G21" s="2">
        <v>0.2424</v>
      </c>
      <c r="H21" s="2">
        <v>0.23319999999999999</v>
      </c>
      <c r="I21" s="2">
        <v>0.2356</v>
      </c>
      <c r="J21" s="2">
        <v>0.16009999999999999</v>
      </c>
      <c r="K21" s="2">
        <v>6.6799999999999998E-2</v>
      </c>
      <c r="L21" s="2">
        <v>-5.8799999999999998E-2</v>
      </c>
      <c r="M21" s="2">
        <v>8.7499999999999994E-2</v>
      </c>
    </row>
    <row r="22" spans="1:47" ht="19" x14ac:dyDescent="0.25">
      <c r="A22" s="6" t="s">
        <v>16</v>
      </c>
      <c r="B22" s="10">
        <v>-17280000</v>
      </c>
      <c r="C22" s="10">
        <v>-750000</v>
      </c>
      <c r="D22" s="10">
        <v>-18891000</v>
      </c>
      <c r="E22" s="10">
        <v>39417000</v>
      </c>
      <c r="F22" s="10">
        <v>42530000</v>
      </c>
      <c r="G22" s="10">
        <v>56588000</v>
      </c>
      <c r="H22" s="10">
        <v>51853000</v>
      </c>
      <c r="I22" s="10">
        <v>64488000</v>
      </c>
      <c r="J22" s="10">
        <v>51661000</v>
      </c>
      <c r="K22" s="10">
        <v>-4198000</v>
      </c>
      <c r="L22" s="10">
        <v>-60825000</v>
      </c>
      <c r="M22" s="10">
        <v>36195000</v>
      </c>
    </row>
    <row r="23" spans="1:47" ht="19" x14ac:dyDescent="0.25">
      <c r="A23" s="5" t="s">
        <v>17</v>
      </c>
      <c r="B23" s="2">
        <v>-4.8500000000000001E-2</v>
      </c>
      <c r="C23" s="2">
        <v>-2.5999999999999999E-3</v>
      </c>
      <c r="D23" s="2">
        <v>-6.6600000000000006E-2</v>
      </c>
      <c r="E23" s="2">
        <v>0.13070000000000001</v>
      </c>
      <c r="F23" s="2">
        <v>0.1449</v>
      </c>
      <c r="G23" s="2">
        <v>0.1875</v>
      </c>
      <c r="H23" s="2">
        <v>0.1565</v>
      </c>
      <c r="I23" s="2">
        <v>0.18779999999999999</v>
      </c>
      <c r="J23" s="2">
        <v>0.1487</v>
      </c>
      <c r="K23" s="2">
        <v>-1.24E-2</v>
      </c>
      <c r="L23" s="2">
        <v>-0.14299999999999999</v>
      </c>
      <c r="M23" s="2">
        <v>3.8699999999999998E-2</v>
      </c>
    </row>
    <row r="24" spans="1:47" ht="19" x14ac:dyDescent="0.25">
      <c r="A24" s="5" t="s">
        <v>18</v>
      </c>
      <c r="B24" s="1">
        <v>-35896000</v>
      </c>
      <c r="C24" s="1">
        <v>-41806000</v>
      </c>
      <c r="D24" s="1">
        <v>-41650000</v>
      </c>
      <c r="E24" s="1">
        <v>-41783000</v>
      </c>
      <c r="F24" s="1">
        <v>-54308000</v>
      </c>
      <c r="G24" s="1">
        <v>-28294000</v>
      </c>
      <c r="H24" s="1">
        <v>-12214000</v>
      </c>
      <c r="I24" s="1">
        <v>-14940000</v>
      </c>
      <c r="J24" s="1">
        <v>-23034000</v>
      </c>
      <c r="K24" s="1">
        <v>-7281000</v>
      </c>
      <c r="L24" s="1">
        <v>-14213000</v>
      </c>
      <c r="M24" s="1">
        <v>-9476000</v>
      </c>
    </row>
    <row r="25" spans="1:47" ht="19" x14ac:dyDescent="0.25">
      <c r="A25" s="6" t="s">
        <v>19</v>
      </c>
      <c r="B25" s="10">
        <v>-53176000</v>
      </c>
      <c r="C25" s="10">
        <v>-42556000</v>
      </c>
      <c r="D25" s="10">
        <v>-60541000</v>
      </c>
      <c r="E25" s="10">
        <v>-2366000</v>
      </c>
      <c r="F25" s="10">
        <v>-11778000</v>
      </c>
      <c r="G25" s="10">
        <v>28294000</v>
      </c>
      <c r="H25" s="10">
        <v>39639000</v>
      </c>
      <c r="I25" s="10">
        <v>49548000</v>
      </c>
      <c r="J25" s="10">
        <v>28627000</v>
      </c>
      <c r="K25" s="10">
        <v>-11479000</v>
      </c>
      <c r="L25" s="10">
        <v>-75038000</v>
      </c>
      <c r="M25" s="10">
        <v>26719000</v>
      </c>
    </row>
    <row r="26" spans="1:47" ht="19" x14ac:dyDescent="0.25">
      <c r="A26" s="5" t="s">
        <v>20</v>
      </c>
      <c r="B26" s="2">
        <v>-0.1492</v>
      </c>
      <c r="C26" s="2">
        <v>-0.1477</v>
      </c>
      <c r="D26" s="2">
        <v>-0.21340000000000001</v>
      </c>
      <c r="E26" s="2">
        <v>-7.7999999999999996E-3</v>
      </c>
      <c r="F26" s="2">
        <v>-4.0099999999999997E-2</v>
      </c>
      <c r="G26" s="2">
        <v>9.3700000000000006E-2</v>
      </c>
      <c r="H26" s="2">
        <v>0.1196</v>
      </c>
      <c r="I26" s="2">
        <v>0.14430000000000001</v>
      </c>
      <c r="J26" s="2">
        <v>8.2400000000000001E-2</v>
      </c>
      <c r="K26" s="2">
        <v>-3.3799999999999997E-2</v>
      </c>
      <c r="L26" s="2">
        <v>-0.17649999999999999</v>
      </c>
      <c r="M26" s="2">
        <v>2.86E-2</v>
      </c>
    </row>
    <row r="27" spans="1:47" ht="19" x14ac:dyDescent="0.25">
      <c r="A27" s="5" t="s">
        <v>21</v>
      </c>
      <c r="B27" s="1">
        <v>84082000</v>
      </c>
      <c r="C27" s="1">
        <v>-555000</v>
      </c>
      <c r="D27" s="1">
        <v>1014000</v>
      </c>
      <c r="E27" s="1">
        <v>1195000</v>
      </c>
      <c r="F27" s="1">
        <v>2968000</v>
      </c>
      <c r="G27" s="1">
        <v>1532000</v>
      </c>
      <c r="H27" s="1">
        <v>-83746000</v>
      </c>
      <c r="I27" s="1">
        <v>9030000</v>
      </c>
      <c r="J27" s="1">
        <v>-3040000</v>
      </c>
      <c r="K27" s="1">
        <v>1994000</v>
      </c>
      <c r="L27" s="1">
        <v>-3759000</v>
      </c>
      <c r="M27" s="1">
        <v>-1348000</v>
      </c>
    </row>
    <row r="28" spans="1:47" ht="20" thickBot="1" x14ac:dyDescent="0.3">
      <c r="A28" s="7" t="s">
        <v>22</v>
      </c>
      <c r="B28" s="11">
        <v>-137258000</v>
      </c>
      <c r="C28" s="11">
        <v>-42001000</v>
      </c>
      <c r="D28" s="11">
        <v>-61555000</v>
      </c>
      <c r="E28" s="11">
        <v>-3561000</v>
      </c>
      <c r="F28" s="11">
        <v>-14746000</v>
      </c>
      <c r="G28" s="11">
        <v>26762000</v>
      </c>
      <c r="H28" s="11">
        <v>123385000</v>
      </c>
      <c r="I28" s="11">
        <v>40518000</v>
      </c>
      <c r="J28" s="11">
        <v>31667000</v>
      </c>
      <c r="K28" s="11">
        <v>-13473000</v>
      </c>
      <c r="L28" s="11">
        <v>-71279000</v>
      </c>
      <c r="M28" s="11">
        <v>28067000</v>
      </c>
    </row>
    <row r="29" spans="1:47" ht="20" customHeight="1" thickTop="1" x14ac:dyDescent="0.25">
      <c r="A29" s="14" t="s">
        <v>102</v>
      </c>
      <c r="B29" s="1"/>
      <c r="C29" s="15">
        <f>(C28/B28)-1</f>
        <v>-0.69399962115140834</v>
      </c>
      <c r="D29" s="15">
        <f>(D28/C28)-1</f>
        <v>0.46556034380133804</v>
      </c>
      <c r="E29" s="15">
        <f>(E28/D28)-1</f>
        <v>-0.94214929737633013</v>
      </c>
      <c r="F29" s="15">
        <f t="shared" ref="F29:K29" si="6">(F28/E28)-1</f>
        <v>3.1409716371805674</v>
      </c>
      <c r="G29" s="15">
        <f t="shared" si="6"/>
        <v>-2.8148650481486506</v>
      </c>
      <c r="H29" s="15">
        <f t="shared" si="6"/>
        <v>3.6104551229355053</v>
      </c>
      <c r="I29" s="15">
        <f t="shared" si="6"/>
        <v>-0.67161324310086323</v>
      </c>
      <c r="J29" s="15">
        <f t="shared" si="6"/>
        <v>-0.21844612271089392</v>
      </c>
      <c r="K29" s="15">
        <f t="shared" si="6"/>
        <v>-1.4254586793823223</v>
      </c>
      <c r="L29" s="15">
        <f t="shared" ref="L29" si="7">(L28/K28)-1</f>
        <v>4.2905069398055371</v>
      </c>
      <c r="M29" s="15">
        <f t="shared" ref="M29" si="8">(M28/L28)-1</f>
        <v>-1.3937625387561554</v>
      </c>
      <c r="N29" s="15"/>
      <c r="O29" s="15"/>
      <c r="P29" s="15"/>
      <c r="Q29" s="15"/>
      <c r="R29" s="15"/>
      <c r="S29" s="15"/>
      <c r="T29" s="15"/>
      <c r="U29" s="15"/>
      <c r="V29" s="15"/>
      <c r="AH29" s="15"/>
      <c r="AI29" s="15"/>
      <c r="AJ29" s="15"/>
      <c r="AK29" s="15"/>
      <c r="AL29" s="15"/>
    </row>
    <row r="30" spans="1:47" ht="19" x14ac:dyDescent="0.25">
      <c r="A30" s="5" t="s">
        <v>23</v>
      </c>
      <c r="B30" s="2">
        <v>-0.38519999999999999</v>
      </c>
      <c r="C30" s="2">
        <v>-0.14580000000000001</v>
      </c>
      <c r="D30" s="2">
        <v>-0.217</v>
      </c>
      <c r="E30" s="2">
        <v>-1.18E-2</v>
      </c>
      <c r="F30" s="2">
        <v>-5.0200000000000002E-2</v>
      </c>
      <c r="G30" s="2">
        <v>8.8700000000000001E-2</v>
      </c>
      <c r="H30" s="2">
        <v>0.37230000000000002</v>
      </c>
      <c r="I30" s="2">
        <v>0.11799999999999999</v>
      </c>
      <c r="J30" s="2">
        <v>9.1200000000000003E-2</v>
      </c>
      <c r="K30" s="2">
        <v>-3.9699999999999999E-2</v>
      </c>
      <c r="L30" s="2">
        <v>-0.1676</v>
      </c>
      <c r="M30" s="2">
        <v>0.03</v>
      </c>
    </row>
    <row r="31" spans="1:47" ht="19" x14ac:dyDescent="0.25">
      <c r="A31" s="5" t="s">
        <v>24</v>
      </c>
      <c r="B31" s="12">
        <v>-7.61</v>
      </c>
      <c r="C31" s="12">
        <v>-2.3199999999999998</v>
      </c>
      <c r="D31" s="12">
        <v>-3.41</v>
      </c>
      <c r="E31" s="12">
        <v>-0.2</v>
      </c>
      <c r="F31" s="12">
        <v>-0.6</v>
      </c>
      <c r="G31" s="12">
        <v>0.84</v>
      </c>
      <c r="H31" s="12">
        <v>3.31</v>
      </c>
      <c r="I31" s="12">
        <v>1.06</v>
      </c>
      <c r="J31" s="12">
        <v>0.81</v>
      </c>
      <c r="K31" s="12">
        <v>-0.25</v>
      </c>
      <c r="L31" s="12">
        <v>-1.05</v>
      </c>
      <c r="M31" s="12">
        <v>0.41</v>
      </c>
    </row>
    <row r="32" spans="1:47" ht="19" x14ac:dyDescent="0.25">
      <c r="A32" s="5" t="s">
        <v>25</v>
      </c>
      <c r="B32" s="12">
        <v>-7.61</v>
      </c>
      <c r="C32" s="12">
        <v>-2.3199999999999998</v>
      </c>
      <c r="D32" s="12">
        <v>-3.41</v>
      </c>
      <c r="E32" s="12">
        <v>-0.2</v>
      </c>
      <c r="F32" s="12">
        <v>-0.6</v>
      </c>
      <c r="G32" s="12">
        <v>0.82</v>
      </c>
      <c r="H32" s="12">
        <v>3.17</v>
      </c>
      <c r="I32" s="12">
        <v>1.03</v>
      </c>
      <c r="J32" s="12">
        <v>0.79</v>
      </c>
      <c r="K32" s="12">
        <v>-0.25</v>
      </c>
      <c r="L32" s="12">
        <v>-1.05</v>
      </c>
      <c r="M32" s="12">
        <v>0.4</v>
      </c>
    </row>
    <row r="33" spans="1:38" ht="19" x14ac:dyDescent="0.25">
      <c r="A33" s="5" t="s">
        <v>26</v>
      </c>
      <c r="B33" s="1">
        <v>18032131</v>
      </c>
      <c r="C33" s="1">
        <v>18080615</v>
      </c>
      <c r="D33" s="1">
        <v>18032131</v>
      </c>
      <c r="E33" s="1">
        <v>18080615</v>
      </c>
      <c r="F33" s="1">
        <v>24439845</v>
      </c>
      <c r="G33" s="1">
        <v>32043904</v>
      </c>
      <c r="H33" s="1">
        <v>37276000</v>
      </c>
      <c r="I33" s="1">
        <v>38233000</v>
      </c>
      <c r="J33" s="1">
        <v>38988000</v>
      </c>
      <c r="K33" s="1">
        <v>54134000</v>
      </c>
      <c r="L33" s="1">
        <v>54134000</v>
      </c>
      <c r="M33" s="1">
        <v>68487000</v>
      </c>
    </row>
    <row r="34" spans="1:38" ht="19" x14ac:dyDescent="0.25">
      <c r="A34" s="5" t="s">
        <v>27</v>
      </c>
      <c r="B34" s="1">
        <v>18032131</v>
      </c>
      <c r="C34" s="1">
        <v>18080615</v>
      </c>
      <c r="D34" s="1">
        <v>18032131</v>
      </c>
      <c r="E34" s="1">
        <v>18080615</v>
      </c>
      <c r="F34" s="1">
        <v>24439845</v>
      </c>
      <c r="G34" s="1">
        <v>32655958</v>
      </c>
      <c r="H34" s="1">
        <v>38892000</v>
      </c>
      <c r="I34" s="1">
        <v>39501000</v>
      </c>
      <c r="J34" s="1">
        <v>40113000</v>
      </c>
      <c r="K34" s="1">
        <v>54134000</v>
      </c>
      <c r="L34" s="1">
        <v>54134000</v>
      </c>
      <c r="M34" s="1">
        <v>70671000</v>
      </c>
    </row>
    <row r="35" spans="1:38" ht="20" customHeight="1" x14ac:dyDescent="0.25">
      <c r="A35" s="14" t="s">
        <v>103</v>
      </c>
      <c r="B35" s="1"/>
      <c r="C35" s="22">
        <f>(C34-B34)/B34</f>
        <v>2.6887559767617038E-3</v>
      </c>
      <c r="D35" s="22">
        <f t="shared" ref="D35:K35" si="9">(D34-C34)/C34</f>
        <v>-2.6815459540507885E-3</v>
      </c>
      <c r="E35" s="22">
        <f t="shared" si="9"/>
        <v>2.6887559767617038E-3</v>
      </c>
      <c r="F35" s="22">
        <f t="shared" si="9"/>
        <v>0.35171535923971614</v>
      </c>
      <c r="G35" s="22">
        <f t="shared" si="9"/>
        <v>0.33617696838912031</v>
      </c>
      <c r="H35" s="22">
        <f t="shared" si="9"/>
        <v>0.19096184530859575</v>
      </c>
      <c r="I35" s="22">
        <f t="shared" si="9"/>
        <v>1.5658747300215981E-2</v>
      </c>
      <c r="J35" s="22">
        <f t="shared" si="9"/>
        <v>1.5493278651173389E-2</v>
      </c>
      <c r="K35" s="22">
        <f t="shared" si="9"/>
        <v>0.34953755640316109</v>
      </c>
      <c r="L35" s="22">
        <f t="shared" ref="L35" si="10">(L34-K34)/K34</f>
        <v>0</v>
      </c>
      <c r="M35" s="22">
        <f t="shared" ref="M35" si="11">(M34-L34)/L34</f>
        <v>0.30548269109986331</v>
      </c>
      <c r="N35" s="22"/>
      <c r="O35" s="22"/>
      <c r="P35" s="22"/>
      <c r="Q35" s="22"/>
      <c r="R35" s="22"/>
      <c r="S35" s="22"/>
      <c r="T35" s="22"/>
      <c r="U35" s="22"/>
      <c r="V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v>33321000</v>
      </c>
      <c r="D38" s="1">
        <v>18578000</v>
      </c>
      <c r="E38" s="1">
        <v>19739000</v>
      </c>
      <c r="F38" s="1">
        <v>28596000</v>
      </c>
      <c r="G38" s="1">
        <v>51178000</v>
      </c>
      <c r="H38" s="1">
        <v>76290000</v>
      </c>
      <c r="I38" s="1">
        <v>113401000</v>
      </c>
      <c r="J38" s="1">
        <v>92919000</v>
      </c>
      <c r="K38" s="1">
        <v>79612000</v>
      </c>
      <c r="L38" s="1">
        <v>98508000</v>
      </c>
      <c r="M38" s="1">
        <v>415652000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row>
    <row r="40" spans="1:38" ht="19" x14ac:dyDescent="0.25">
      <c r="A40" s="5" t="s">
        <v>32</v>
      </c>
      <c r="B40" s="1" t="s">
        <v>92</v>
      </c>
      <c r="C40" s="1">
        <v>33321000</v>
      </c>
      <c r="D40" s="1">
        <v>18578000</v>
      </c>
      <c r="E40" s="1">
        <v>19739000</v>
      </c>
      <c r="F40" s="1">
        <v>28596000</v>
      </c>
      <c r="G40" s="1">
        <v>51178000</v>
      </c>
      <c r="H40" s="1">
        <v>76290000</v>
      </c>
      <c r="I40" s="1">
        <v>113401000</v>
      </c>
      <c r="J40" s="1">
        <v>92919000</v>
      </c>
      <c r="K40" s="1">
        <v>79612000</v>
      </c>
      <c r="L40" s="1">
        <v>98508000</v>
      </c>
      <c r="M40" s="1">
        <v>415652000</v>
      </c>
    </row>
    <row r="41" spans="1:38" ht="19" x14ac:dyDescent="0.25">
      <c r="A41" s="5" t="s">
        <v>33</v>
      </c>
      <c r="B41" s="1" t="s">
        <v>92</v>
      </c>
      <c r="C41" s="1">
        <v>42116000</v>
      </c>
      <c r="D41" s="1">
        <v>39235000</v>
      </c>
      <c r="E41" s="1">
        <v>41787000</v>
      </c>
      <c r="F41" s="1">
        <v>37293000</v>
      </c>
      <c r="G41" s="1">
        <v>36818000</v>
      </c>
      <c r="H41" s="1">
        <v>40259000</v>
      </c>
      <c r="I41" s="1">
        <v>43753000</v>
      </c>
      <c r="J41" s="1">
        <v>43529000</v>
      </c>
      <c r="K41" s="1">
        <v>54002000</v>
      </c>
      <c r="L41" s="1">
        <v>89336000</v>
      </c>
      <c r="M41" s="1">
        <v>213397000</v>
      </c>
    </row>
    <row r="42" spans="1:38" ht="19" x14ac:dyDescent="0.25">
      <c r="A42" s="5" t="s">
        <v>34</v>
      </c>
      <c r="B42" s="1" t="s">
        <v>92</v>
      </c>
      <c r="C42" s="1">
        <v>18048000</v>
      </c>
      <c r="D42" s="1">
        <v>18310000</v>
      </c>
      <c r="E42" s="1">
        <v>15582000</v>
      </c>
      <c r="F42" s="1">
        <v>15622000</v>
      </c>
      <c r="G42" s="1">
        <v>17640000</v>
      </c>
      <c r="H42" s="1">
        <v>26080000</v>
      </c>
      <c r="I42" s="1">
        <v>33019000</v>
      </c>
      <c r="J42" s="1">
        <v>29180000</v>
      </c>
      <c r="K42" s="1">
        <v>35744000</v>
      </c>
      <c r="L42" s="1">
        <v>35129000</v>
      </c>
      <c r="M42" s="1">
        <v>35475000</v>
      </c>
    </row>
    <row r="43" spans="1:38" ht="19" x14ac:dyDescent="0.25">
      <c r="A43" s="5" t="s">
        <v>35</v>
      </c>
      <c r="B43" s="1" t="s">
        <v>92</v>
      </c>
      <c r="C43" s="1">
        <v>3058000</v>
      </c>
      <c r="D43" s="1">
        <v>3122000</v>
      </c>
      <c r="E43" s="1">
        <v>4127000</v>
      </c>
      <c r="F43" s="1">
        <v>8590000</v>
      </c>
      <c r="G43" s="1">
        <v>5183000</v>
      </c>
      <c r="H43" s="1">
        <v>5221000</v>
      </c>
      <c r="I43" s="1">
        <v>5242000</v>
      </c>
      <c r="J43" s="1">
        <v>7283000</v>
      </c>
      <c r="K43" s="1">
        <v>14867000</v>
      </c>
      <c r="L43" s="1">
        <v>12818000</v>
      </c>
      <c r="M43" s="1">
        <v>13092000</v>
      </c>
    </row>
    <row r="44" spans="1:38" ht="19" x14ac:dyDescent="0.25">
      <c r="A44" s="6" t="s">
        <v>36</v>
      </c>
      <c r="B44" s="10" t="s">
        <v>92</v>
      </c>
      <c r="C44" s="10">
        <v>96543000</v>
      </c>
      <c r="D44" s="10">
        <v>79245000</v>
      </c>
      <c r="E44" s="10">
        <v>81235000</v>
      </c>
      <c r="F44" s="10">
        <v>90101000</v>
      </c>
      <c r="G44" s="10">
        <v>110819000</v>
      </c>
      <c r="H44" s="10">
        <v>147850000</v>
      </c>
      <c r="I44" s="10">
        <v>195415000</v>
      </c>
      <c r="J44" s="10">
        <v>172911000</v>
      </c>
      <c r="K44" s="10">
        <v>184225000</v>
      </c>
      <c r="L44" s="10">
        <v>235791000</v>
      </c>
      <c r="M44" s="10">
        <v>677616000</v>
      </c>
    </row>
    <row r="45" spans="1:38" ht="19" x14ac:dyDescent="0.25">
      <c r="A45" s="5" t="s">
        <v>37</v>
      </c>
      <c r="B45" s="1" t="s">
        <v>92</v>
      </c>
      <c r="C45" s="1">
        <v>109573000</v>
      </c>
      <c r="D45" s="1">
        <v>97653000</v>
      </c>
      <c r="E45" s="1">
        <v>96014000</v>
      </c>
      <c r="F45" s="1">
        <v>86517000</v>
      </c>
      <c r="G45" s="1">
        <v>94187000</v>
      </c>
      <c r="H45" s="1">
        <v>92999000</v>
      </c>
      <c r="I45" s="1">
        <v>107888000</v>
      </c>
      <c r="J45" s="1">
        <v>116497000</v>
      </c>
      <c r="K45" s="1">
        <v>120171000</v>
      </c>
      <c r="L45" s="1">
        <v>125560000</v>
      </c>
      <c r="M45" s="1">
        <v>122166000</v>
      </c>
    </row>
    <row r="46" spans="1:38" ht="19" x14ac:dyDescent="0.25">
      <c r="A46" s="5" t="s">
        <v>38</v>
      </c>
      <c r="B46" s="1" t="s">
        <v>92</v>
      </c>
      <c r="C46" s="1">
        <v>15714000</v>
      </c>
      <c r="D46" s="1">
        <v>15714000</v>
      </c>
      <c r="E46" s="1">
        <v>15714000</v>
      </c>
      <c r="F46" s="1">
        <v>15714000</v>
      </c>
      <c r="G46" s="1">
        <v>15714000</v>
      </c>
      <c r="H46" s="1">
        <v>15714000</v>
      </c>
      <c r="I46" s="1">
        <v>15714000</v>
      </c>
      <c r="J46" s="1">
        <v>15714000</v>
      </c>
      <c r="K46" s="1">
        <v>58632000</v>
      </c>
      <c r="L46" s="1">
        <v>61189000</v>
      </c>
      <c r="M46" s="1">
        <v>61189000</v>
      </c>
    </row>
    <row r="47" spans="1:38" ht="19" x14ac:dyDescent="0.25">
      <c r="A47" s="5" t="s">
        <v>39</v>
      </c>
      <c r="B47" s="1" t="s">
        <v>92</v>
      </c>
      <c r="C47" s="1">
        <v>69036000</v>
      </c>
      <c r="D47" s="1">
        <v>36468000</v>
      </c>
      <c r="E47" s="1">
        <v>29612000</v>
      </c>
      <c r="F47" s="1">
        <v>29633000</v>
      </c>
      <c r="G47" s="1">
        <v>15118000</v>
      </c>
      <c r="H47" s="1">
        <v>11798000</v>
      </c>
      <c r="I47" s="1">
        <v>9133000</v>
      </c>
      <c r="J47" s="1">
        <v>7336000</v>
      </c>
      <c r="K47" s="1">
        <v>376012000</v>
      </c>
      <c r="L47" s="1">
        <v>348510000</v>
      </c>
      <c r="M47" s="1">
        <v>315285000</v>
      </c>
    </row>
    <row r="48" spans="1:38" ht="19" x14ac:dyDescent="0.25">
      <c r="A48" s="5" t="s">
        <v>40</v>
      </c>
      <c r="B48" s="1" t="s">
        <v>92</v>
      </c>
      <c r="C48" s="1">
        <v>84750000</v>
      </c>
      <c r="D48" s="1">
        <v>52182000</v>
      </c>
      <c r="E48" s="1">
        <v>45326000</v>
      </c>
      <c r="F48" s="1">
        <v>45347000</v>
      </c>
      <c r="G48" s="1">
        <v>30832000</v>
      </c>
      <c r="H48" s="1">
        <v>27512000</v>
      </c>
      <c r="I48" s="1">
        <v>24847000</v>
      </c>
      <c r="J48" s="1">
        <v>23050000</v>
      </c>
      <c r="K48" s="1">
        <v>434644000</v>
      </c>
      <c r="L48" s="1">
        <v>409699000</v>
      </c>
      <c r="M48" s="1">
        <v>376474000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v>15000</v>
      </c>
      <c r="E50" s="1">
        <v>328000</v>
      </c>
      <c r="F50" s="1" t="s">
        <v>92</v>
      </c>
      <c r="G50" s="1" t="s">
        <v>92</v>
      </c>
      <c r="H50" s="1">
        <v>87010000</v>
      </c>
      <c r="I50" s="1">
        <v>81449000</v>
      </c>
      <c r="J50" s="1">
        <v>71834000</v>
      </c>
      <c r="K50" s="1">
        <v>70147000</v>
      </c>
      <c r="L50" s="1">
        <v>62764000</v>
      </c>
      <c r="M50" s="1">
        <v>110647000</v>
      </c>
    </row>
    <row r="51" spans="1:13" ht="19" x14ac:dyDescent="0.25">
      <c r="A51" s="5" t="s">
        <v>43</v>
      </c>
      <c r="B51" s="1" t="s">
        <v>92</v>
      </c>
      <c r="C51" s="1">
        <v>33786000</v>
      </c>
      <c r="D51" s="1">
        <v>32216000</v>
      </c>
      <c r="E51" s="1">
        <v>26667000</v>
      </c>
      <c r="F51" s="1">
        <v>20414000</v>
      </c>
      <c r="G51" s="1">
        <v>20060000</v>
      </c>
      <c r="H51" s="1">
        <v>28487000</v>
      </c>
      <c r="I51" s="1">
        <v>30232000</v>
      </c>
      <c r="J51" s="1">
        <v>21627000</v>
      </c>
      <c r="K51" s="1">
        <v>60634000</v>
      </c>
      <c r="L51" s="1">
        <v>29970000</v>
      </c>
      <c r="M51" s="1">
        <v>34355000</v>
      </c>
    </row>
    <row r="52" spans="1:13" ht="19" x14ac:dyDescent="0.25">
      <c r="A52" s="5" t="s">
        <v>44</v>
      </c>
      <c r="B52" s="1" t="s">
        <v>92</v>
      </c>
      <c r="C52" s="1">
        <v>228109000</v>
      </c>
      <c r="D52" s="1">
        <v>182066000</v>
      </c>
      <c r="E52" s="1">
        <v>168335000</v>
      </c>
      <c r="F52" s="1">
        <v>152278000</v>
      </c>
      <c r="G52" s="1">
        <v>145079000</v>
      </c>
      <c r="H52" s="1">
        <v>236008000</v>
      </c>
      <c r="I52" s="1">
        <v>244416000</v>
      </c>
      <c r="J52" s="1">
        <v>233008000</v>
      </c>
      <c r="K52" s="1">
        <v>685596000</v>
      </c>
      <c r="L52" s="1">
        <v>627993000</v>
      </c>
      <c r="M52" s="1">
        <v>643642000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v>324652000</v>
      </c>
      <c r="D54" s="11">
        <v>261311000</v>
      </c>
      <c r="E54" s="11">
        <v>249570000</v>
      </c>
      <c r="F54" s="11">
        <v>242379000</v>
      </c>
      <c r="G54" s="11">
        <v>255898000</v>
      </c>
      <c r="H54" s="11">
        <v>383858000</v>
      </c>
      <c r="I54" s="11">
        <v>439831000</v>
      </c>
      <c r="J54" s="11">
        <v>405919000</v>
      </c>
      <c r="K54" s="11">
        <v>869821000</v>
      </c>
      <c r="L54" s="11">
        <v>863784000</v>
      </c>
      <c r="M54" s="11">
        <v>1321258000</v>
      </c>
    </row>
    <row r="55" spans="1:13" ht="20" thickTop="1" x14ac:dyDescent="0.25">
      <c r="A55" s="5" t="s">
        <v>47</v>
      </c>
      <c r="B55" s="1" t="s">
        <v>92</v>
      </c>
      <c r="C55" s="1">
        <v>18945000</v>
      </c>
      <c r="D55" s="1">
        <v>18103000</v>
      </c>
      <c r="E55" s="1">
        <v>15665000</v>
      </c>
      <c r="F55" s="1">
        <v>11657000</v>
      </c>
      <c r="G55" s="1">
        <v>18940000</v>
      </c>
      <c r="H55" s="1">
        <v>17464000</v>
      </c>
      <c r="I55" s="1">
        <v>17955000</v>
      </c>
      <c r="J55" s="1">
        <v>18608000</v>
      </c>
      <c r="K55" s="1">
        <v>16284000</v>
      </c>
      <c r="L55" s="1">
        <v>20787000</v>
      </c>
      <c r="M55" s="1">
        <v>20563000</v>
      </c>
    </row>
    <row r="56" spans="1:13" ht="19" x14ac:dyDescent="0.25">
      <c r="A56" s="5" t="s">
        <v>48</v>
      </c>
      <c r="B56" s="1" t="s">
        <v>92</v>
      </c>
      <c r="C56" s="1" t="s">
        <v>92</v>
      </c>
      <c r="D56" s="1">
        <v>8000000</v>
      </c>
      <c r="E56" s="1">
        <v>8000000</v>
      </c>
      <c r="F56" s="1">
        <v>3650000</v>
      </c>
      <c r="G56" s="1">
        <v>3650000</v>
      </c>
      <c r="H56" s="1">
        <v>2750000</v>
      </c>
      <c r="I56" s="1">
        <v>2750000</v>
      </c>
      <c r="J56" s="1">
        <v>10143000</v>
      </c>
      <c r="K56" s="1">
        <v>20701000</v>
      </c>
      <c r="L56" s="1">
        <v>11642000</v>
      </c>
      <c r="M56" s="1">
        <v>354000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7320000</v>
      </c>
      <c r="D58" s="1">
        <v>3979000</v>
      </c>
      <c r="E58" s="1">
        <v>132000</v>
      </c>
      <c r="F58" s="1" t="s">
        <v>92</v>
      </c>
      <c r="G58" s="1" t="s">
        <v>92</v>
      </c>
      <c r="H58" s="1" t="s">
        <v>92</v>
      </c>
      <c r="I58" s="1" t="s">
        <v>92</v>
      </c>
      <c r="J58" s="1" t="s">
        <v>92</v>
      </c>
      <c r="K58" s="1" t="s">
        <v>92</v>
      </c>
      <c r="L58" s="1" t="s">
        <v>92</v>
      </c>
      <c r="M58" s="1" t="s">
        <v>92</v>
      </c>
    </row>
    <row r="59" spans="1:13" ht="19" x14ac:dyDescent="0.25">
      <c r="A59" s="5" t="s">
        <v>51</v>
      </c>
      <c r="B59" s="1" t="s">
        <v>92</v>
      </c>
      <c r="C59" s="1">
        <v>29806000</v>
      </c>
      <c r="D59" s="1">
        <v>25549000</v>
      </c>
      <c r="E59" s="1">
        <v>24731000</v>
      </c>
      <c r="F59" s="1">
        <v>20411000</v>
      </c>
      <c r="G59" s="1">
        <v>21249000</v>
      </c>
      <c r="H59" s="1">
        <v>26536000</v>
      </c>
      <c r="I59" s="1">
        <v>32050000</v>
      </c>
      <c r="J59" s="1">
        <v>37360000</v>
      </c>
      <c r="K59" s="1">
        <v>43519000</v>
      </c>
      <c r="L59" s="1">
        <v>58068000</v>
      </c>
      <c r="M59" s="1">
        <v>226784000</v>
      </c>
    </row>
    <row r="60" spans="1:13" ht="19" x14ac:dyDescent="0.25">
      <c r="A60" s="6" t="s">
        <v>52</v>
      </c>
      <c r="B60" s="10" t="s">
        <v>92</v>
      </c>
      <c r="C60" s="10">
        <v>56071000</v>
      </c>
      <c r="D60" s="10">
        <v>55631000</v>
      </c>
      <c r="E60" s="10">
        <v>48528000</v>
      </c>
      <c r="F60" s="10">
        <v>35718000</v>
      </c>
      <c r="G60" s="10">
        <v>43839000</v>
      </c>
      <c r="H60" s="10">
        <v>46750000</v>
      </c>
      <c r="I60" s="10">
        <v>52755000</v>
      </c>
      <c r="J60" s="10">
        <v>66111000</v>
      </c>
      <c r="K60" s="10">
        <v>80504000</v>
      </c>
      <c r="L60" s="10">
        <v>90497000</v>
      </c>
      <c r="M60" s="10">
        <v>247701000</v>
      </c>
    </row>
    <row r="61" spans="1:13" ht="19" x14ac:dyDescent="0.25">
      <c r="A61" s="5" t="s">
        <v>53</v>
      </c>
      <c r="B61" s="1" t="s">
        <v>92</v>
      </c>
      <c r="C61" s="1">
        <v>398822000</v>
      </c>
      <c r="D61" s="1">
        <v>399037000</v>
      </c>
      <c r="E61" s="1">
        <v>399280000</v>
      </c>
      <c r="F61" s="1">
        <v>349858000</v>
      </c>
      <c r="G61" s="1">
        <v>274460000</v>
      </c>
      <c r="H61" s="1">
        <v>265393000</v>
      </c>
      <c r="I61" s="1">
        <v>263709000</v>
      </c>
      <c r="J61" s="1">
        <v>183741000</v>
      </c>
      <c r="K61" s="1">
        <v>197699000</v>
      </c>
      <c r="L61" s="1">
        <v>179667000</v>
      </c>
      <c r="M61" s="1">
        <v>557712000</v>
      </c>
    </row>
    <row r="62" spans="1:1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row>
    <row r="63" spans="1:13" ht="19" x14ac:dyDescent="0.25">
      <c r="A63" s="5" t="s">
        <v>54</v>
      </c>
      <c r="B63" s="1" t="s">
        <v>92</v>
      </c>
      <c r="C63" s="1">
        <v>435000</v>
      </c>
      <c r="D63" s="1">
        <v>12000</v>
      </c>
      <c r="E63" s="1">
        <v>247000</v>
      </c>
      <c r="F63" s="1" t="s">
        <v>92</v>
      </c>
      <c r="G63" s="1" t="s">
        <v>92</v>
      </c>
      <c r="H63" s="1" t="s">
        <v>92</v>
      </c>
      <c r="I63" s="1" t="s">
        <v>92</v>
      </c>
      <c r="J63" s="1" t="s">
        <v>92</v>
      </c>
      <c r="K63" s="1" t="s">
        <v>92</v>
      </c>
      <c r="L63" s="1" t="s">
        <v>92</v>
      </c>
      <c r="M63" s="1" t="s">
        <v>92</v>
      </c>
    </row>
    <row r="64" spans="1:13" ht="19" x14ac:dyDescent="0.25">
      <c r="A64" s="5" t="s">
        <v>55</v>
      </c>
      <c r="B64" s="1" t="s">
        <v>92</v>
      </c>
      <c r="C64" s="1">
        <v>42429000</v>
      </c>
      <c r="D64" s="1">
        <v>42148000</v>
      </c>
      <c r="E64" s="1">
        <v>40785000</v>
      </c>
      <c r="F64" s="1">
        <v>42092000</v>
      </c>
      <c r="G64" s="1">
        <v>44115000</v>
      </c>
      <c r="H64" s="1">
        <v>48424000</v>
      </c>
      <c r="I64" s="1">
        <v>52365000</v>
      </c>
      <c r="J64" s="1">
        <v>41466000</v>
      </c>
      <c r="K64" s="1">
        <v>77413000</v>
      </c>
      <c r="L64" s="1">
        <v>129181000</v>
      </c>
      <c r="M64" s="1">
        <v>68698000</v>
      </c>
    </row>
    <row r="65" spans="1:38" ht="19" x14ac:dyDescent="0.25">
      <c r="A65" s="5" t="s">
        <v>56</v>
      </c>
      <c r="B65" s="1" t="s">
        <v>92</v>
      </c>
      <c r="C65" s="1">
        <v>441686000</v>
      </c>
      <c r="D65" s="1">
        <v>441197000</v>
      </c>
      <c r="E65" s="1">
        <v>440312000</v>
      </c>
      <c r="F65" s="1">
        <v>391950000</v>
      </c>
      <c r="G65" s="1">
        <v>318575000</v>
      </c>
      <c r="H65" s="1">
        <v>313817000</v>
      </c>
      <c r="I65" s="1">
        <v>316074000</v>
      </c>
      <c r="J65" s="1">
        <v>225207000</v>
      </c>
      <c r="K65" s="1">
        <v>275112000</v>
      </c>
      <c r="L65" s="1">
        <v>308848000</v>
      </c>
      <c r="M65" s="1">
        <v>626410000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v>497757000</v>
      </c>
      <c r="D67" s="10">
        <v>496828000</v>
      </c>
      <c r="E67" s="10">
        <v>488840000</v>
      </c>
      <c r="F67" s="10">
        <v>427668000</v>
      </c>
      <c r="G67" s="10">
        <v>362414000</v>
      </c>
      <c r="H67" s="10">
        <v>360567000</v>
      </c>
      <c r="I67" s="10">
        <v>368829000</v>
      </c>
      <c r="J67" s="10">
        <v>291318000</v>
      </c>
      <c r="K67" s="10">
        <v>355616000</v>
      </c>
      <c r="L67" s="10">
        <v>399345000</v>
      </c>
      <c r="M67" s="10">
        <v>874111000</v>
      </c>
    </row>
    <row r="68" spans="1:38" ht="19" x14ac:dyDescent="0.25">
      <c r="A68" s="5" t="s">
        <v>59</v>
      </c>
      <c r="B68" s="1" t="s">
        <v>92</v>
      </c>
      <c r="C68" s="1">
        <v>50000</v>
      </c>
      <c r="D68" s="1">
        <v>51000</v>
      </c>
      <c r="E68" s="1">
        <v>51000</v>
      </c>
      <c r="F68" s="1">
        <v>303000</v>
      </c>
      <c r="G68" s="1">
        <v>367000</v>
      </c>
      <c r="H68" s="1">
        <v>378000</v>
      </c>
      <c r="I68" s="1">
        <v>385000</v>
      </c>
      <c r="J68" s="1">
        <v>393000</v>
      </c>
      <c r="K68" s="1">
        <v>669000</v>
      </c>
      <c r="L68" s="1">
        <v>677000</v>
      </c>
      <c r="M68" s="1">
        <v>689000</v>
      </c>
    </row>
    <row r="69" spans="1:38" ht="19" x14ac:dyDescent="0.25">
      <c r="A69" s="5" t="s">
        <v>60</v>
      </c>
      <c r="B69" s="1" t="s">
        <v>92</v>
      </c>
      <c r="C69" s="1">
        <v>-279298000</v>
      </c>
      <c r="D69" s="1">
        <v>-340853000</v>
      </c>
      <c r="E69" s="1">
        <v>-344414000</v>
      </c>
      <c r="F69" s="1">
        <v>-359160000</v>
      </c>
      <c r="G69" s="1">
        <v>-332398000</v>
      </c>
      <c r="H69" s="1">
        <v>-209013000</v>
      </c>
      <c r="I69" s="1">
        <v>-168140000</v>
      </c>
      <c r="J69" s="1">
        <v>-136473000</v>
      </c>
      <c r="K69" s="1">
        <v>-149946000</v>
      </c>
      <c r="L69" s="1">
        <v>-221225000</v>
      </c>
      <c r="M69" s="1">
        <v>-193158000</v>
      </c>
    </row>
    <row r="70" spans="1:38" ht="19" x14ac:dyDescent="0.25">
      <c r="A70" s="5" t="s">
        <v>61</v>
      </c>
      <c r="B70" s="1" t="s">
        <v>92</v>
      </c>
      <c r="C70" s="1">
        <v>1335000</v>
      </c>
      <c r="D70" s="1">
        <v>-394000</v>
      </c>
      <c r="E70" s="1">
        <v>-1630000</v>
      </c>
      <c r="F70" s="1">
        <v>-1985000</v>
      </c>
      <c r="G70" s="1">
        <v>-947000</v>
      </c>
      <c r="H70" s="1">
        <v>-1034000</v>
      </c>
      <c r="I70" s="1">
        <v>-1108000</v>
      </c>
      <c r="J70" s="1">
        <v>-960000</v>
      </c>
      <c r="K70" s="1">
        <v>-2048000</v>
      </c>
      <c r="L70" s="1">
        <v>-485000</v>
      </c>
      <c r="M70" s="1">
        <v>-1259000</v>
      </c>
    </row>
    <row r="71" spans="1:38" ht="19" x14ac:dyDescent="0.25">
      <c r="A71" s="5" t="s">
        <v>62</v>
      </c>
      <c r="B71" s="1" t="s">
        <v>92</v>
      </c>
      <c r="C71" s="1">
        <v>104808000</v>
      </c>
      <c r="D71" s="1">
        <v>105679000</v>
      </c>
      <c r="E71" s="1">
        <v>106723000</v>
      </c>
      <c r="F71" s="1">
        <v>175553000</v>
      </c>
      <c r="G71" s="1">
        <v>226462000</v>
      </c>
      <c r="H71" s="1">
        <v>232960000</v>
      </c>
      <c r="I71" s="1">
        <v>239865000</v>
      </c>
      <c r="J71" s="1">
        <v>251641000</v>
      </c>
      <c r="K71" s="1">
        <v>665530000</v>
      </c>
      <c r="L71" s="1">
        <v>685472000</v>
      </c>
      <c r="M71" s="1">
        <v>640305000</v>
      </c>
    </row>
    <row r="72" spans="1:38" ht="19" x14ac:dyDescent="0.25">
      <c r="A72" s="6" t="s">
        <v>63</v>
      </c>
      <c r="B72" s="10" t="s">
        <v>92</v>
      </c>
      <c r="C72" s="10">
        <v>-173105000</v>
      </c>
      <c r="D72" s="10">
        <v>-235517000</v>
      </c>
      <c r="E72" s="10">
        <v>-239270000</v>
      </c>
      <c r="F72" s="10">
        <v>-185289000</v>
      </c>
      <c r="G72" s="10">
        <v>-106516000</v>
      </c>
      <c r="H72" s="10">
        <v>23291000</v>
      </c>
      <c r="I72" s="10">
        <v>71002000</v>
      </c>
      <c r="J72" s="10">
        <v>114601000</v>
      </c>
      <c r="K72" s="10">
        <v>514205000</v>
      </c>
      <c r="L72" s="10">
        <v>464439000</v>
      </c>
      <c r="M72" s="10">
        <v>447147000</v>
      </c>
    </row>
    <row r="73" spans="1:38" ht="20" thickBot="1" x14ac:dyDescent="0.3">
      <c r="A73" s="7" t="s">
        <v>64</v>
      </c>
      <c r="B73" s="11" t="s">
        <v>92</v>
      </c>
      <c r="C73" s="11">
        <v>324652000</v>
      </c>
      <c r="D73" s="11">
        <v>261311000</v>
      </c>
      <c r="E73" s="11">
        <v>249570000</v>
      </c>
      <c r="F73" s="11">
        <v>242379000</v>
      </c>
      <c r="G73" s="11">
        <v>255898000</v>
      </c>
      <c r="H73" s="11">
        <v>383858000</v>
      </c>
      <c r="I73" s="11">
        <v>439831000</v>
      </c>
      <c r="J73" s="11">
        <v>405919000</v>
      </c>
      <c r="K73" s="11">
        <v>869821000</v>
      </c>
      <c r="L73" s="11">
        <v>863784000</v>
      </c>
      <c r="M73" s="11">
        <v>1321258000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v>-137258000</v>
      </c>
      <c r="C76" s="1">
        <v>-42001000</v>
      </c>
      <c r="D76" s="1">
        <v>-61555000</v>
      </c>
      <c r="E76" s="1">
        <v>-3561000</v>
      </c>
      <c r="F76" s="1">
        <v>-14746000</v>
      </c>
      <c r="G76" s="1">
        <v>26762000</v>
      </c>
      <c r="H76" s="1">
        <v>123385000</v>
      </c>
      <c r="I76" s="1">
        <v>40518000</v>
      </c>
      <c r="J76" s="1">
        <v>31667000</v>
      </c>
      <c r="K76" s="1">
        <v>-13473000</v>
      </c>
      <c r="L76" s="1">
        <v>-71279000</v>
      </c>
      <c r="M76" s="1">
        <v>28067000</v>
      </c>
    </row>
    <row r="77" spans="1:38" ht="19" x14ac:dyDescent="0.25">
      <c r="A77" s="5" t="s">
        <v>13</v>
      </c>
      <c r="B77" s="1">
        <v>32762000</v>
      </c>
      <c r="C77" s="1">
        <v>27402000</v>
      </c>
      <c r="D77" s="1">
        <v>25155000</v>
      </c>
      <c r="E77" s="1">
        <v>18251000</v>
      </c>
      <c r="F77" s="1">
        <v>19651000</v>
      </c>
      <c r="G77" s="1">
        <v>18263000</v>
      </c>
      <c r="H77" s="1">
        <v>19231000</v>
      </c>
      <c r="I77" s="1">
        <v>13929000</v>
      </c>
      <c r="J77" s="1">
        <v>13379000</v>
      </c>
      <c r="K77" s="1">
        <v>24689000</v>
      </c>
      <c r="L77" s="1">
        <v>42288000</v>
      </c>
      <c r="M77" s="1">
        <v>47929000</v>
      </c>
    </row>
    <row r="78" spans="1:38" ht="19" x14ac:dyDescent="0.25">
      <c r="A78" s="5" t="s">
        <v>67</v>
      </c>
      <c r="B78" s="1">
        <v>81741000</v>
      </c>
      <c r="C78" s="1">
        <v>438000</v>
      </c>
      <c r="D78" s="1">
        <v>-651000</v>
      </c>
      <c r="E78" s="1">
        <v>159000</v>
      </c>
      <c r="F78" s="1">
        <v>868000</v>
      </c>
      <c r="G78" s="1">
        <v>365000</v>
      </c>
      <c r="H78" s="1">
        <v>-92566000</v>
      </c>
      <c r="I78" s="1">
        <v>6126000</v>
      </c>
      <c r="J78" s="1">
        <v>7204000</v>
      </c>
      <c r="K78" s="1">
        <v>-724000</v>
      </c>
      <c r="L78" s="1">
        <v>3646000</v>
      </c>
      <c r="M78" s="1">
        <v>-48016000</v>
      </c>
    </row>
    <row r="79" spans="1:38" ht="19" x14ac:dyDescent="0.25">
      <c r="A79" s="5" t="s">
        <v>68</v>
      </c>
      <c r="B79" s="1">
        <v>-969000</v>
      </c>
      <c r="C79" s="1">
        <v>1240000</v>
      </c>
      <c r="D79" s="1">
        <v>578000</v>
      </c>
      <c r="E79" s="1">
        <v>1031000</v>
      </c>
      <c r="F79" s="1">
        <v>2002000</v>
      </c>
      <c r="G79" s="1">
        <v>2524000</v>
      </c>
      <c r="H79" s="1">
        <v>5928000</v>
      </c>
      <c r="I79" s="1">
        <v>8718000</v>
      </c>
      <c r="J79" s="1">
        <v>12492000</v>
      </c>
      <c r="K79" s="1">
        <v>14075000</v>
      </c>
      <c r="L79" s="1">
        <v>15934000</v>
      </c>
      <c r="M79" s="1">
        <v>29262000</v>
      </c>
    </row>
    <row r="80" spans="1:38" ht="19" x14ac:dyDescent="0.25">
      <c r="A80" s="14" t="s">
        <v>104</v>
      </c>
      <c r="B80" s="15">
        <f t="shared" ref="B80:M80" si="12">B79/B3</f>
        <v>-2.7196793641170725E-3</v>
      </c>
      <c r="C80" s="15">
        <f t="shared" si="12"/>
        <v>4.3039863938494644E-3</v>
      </c>
      <c r="D80" s="15">
        <f t="shared" si="12"/>
        <v>2.0375645111255251E-3</v>
      </c>
      <c r="E80" s="15">
        <f t="shared" si="12"/>
        <v>3.4184350132625994E-3</v>
      </c>
      <c r="F80" s="15">
        <f t="shared" si="12"/>
        <v>6.8220308661116813E-3</v>
      </c>
      <c r="G80" s="15">
        <f t="shared" si="12"/>
        <v>8.3616859862250831E-3</v>
      </c>
      <c r="H80" s="15">
        <f t="shared" si="12"/>
        <v>1.7888936501517905E-2</v>
      </c>
      <c r="I80" s="15">
        <f t="shared" si="12"/>
        <v>2.5389225742193645E-2</v>
      </c>
      <c r="J80" s="15">
        <f t="shared" si="12"/>
        <v>3.5965071386002641E-2</v>
      </c>
      <c r="K80" s="15">
        <f t="shared" si="12"/>
        <v>4.1469019769600192E-2</v>
      </c>
      <c r="L80" s="15">
        <f t="shared" si="12"/>
        <v>3.7473424770935633E-2</v>
      </c>
      <c r="M80" s="15">
        <f t="shared" si="12"/>
        <v>3.1294215029821583E-2</v>
      </c>
      <c r="N80" s="15"/>
      <c r="O80" s="15"/>
      <c r="P80" s="15"/>
      <c r="Q80" s="15"/>
      <c r="R80" s="15"/>
      <c r="S80" s="15"/>
      <c r="T80" s="15"/>
      <c r="U80" s="15"/>
      <c r="V80" s="15"/>
      <c r="AH80" s="15"/>
      <c r="AI80" s="15"/>
      <c r="AJ80" s="15"/>
      <c r="AK80" s="15"/>
      <c r="AL80" s="15"/>
    </row>
    <row r="81" spans="1:38" ht="19" x14ac:dyDescent="0.25">
      <c r="A81" s="5" t="s">
        <v>69</v>
      </c>
      <c r="B81" s="1">
        <v>-13988000</v>
      </c>
      <c r="C81" s="1">
        <v>-4815000</v>
      </c>
      <c r="D81" s="1">
        <v>-11458000</v>
      </c>
      <c r="E81" s="1">
        <v>-11844000</v>
      </c>
      <c r="F81" s="1">
        <v>-8234000</v>
      </c>
      <c r="G81" s="1">
        <v>2090000</v>
      </c>
      <c r="H81" s="1">
        <v>-8316000</v>
      </c>
      <c r="I81" s="1">
        <v>-13972000</v>
      </c>
      <c r="J81" s="1">
        <v>9049000</v>
      </c>
      <c r="K81" s="1">
        <v>-22365000</v>
      </c>
      <c r="L81" s="1">
        <v>-15154000</v>
      </c>
      <c r="M81" s="1">
        <v>281781000</v>
      </c>
    </row>
    <row r="82" spans="1:38" ht="19" x14ac:dyDescent="0.25">
      <c r="A82" s="5" t="s">
        <v>70</v>
      </c>
      <c r="B82" s="1">
        <v>9466000</v>
      </c>
      <c r="C82" s="1">
        <v>-1442000</v>
      </c>
      <c r="D82" s="1">
        <v>2627000</v>
      </c>
      <c r="E82" s="1">
        <v>-3563000</v>
      </c>
      <c r="F82" s="1">
        <v>-14000</v>
      </c>
      <c r="G82" s="1">
        <v>-1059000</v>
      </c>
      <c r="H82" s="1">
        <v>-3407000</v>
      </c>
      <c r="I82" s="1">
        <v>-3985000</v>
      </c>
      <c r="J82" s="1">
        <v>156000</v>
      </c>
      <c r="K82" s="1">
        <v>-7462000</v>
      </c>
      <c r="L82" s="1">
        <v>-33102000</v>
      </c>
      <c r="M82" s="1">
        <v>-128460000</v>
      </c>
    </row>
    <row r="83" spans="1:38" ht="21" x14ac:dyDescent="0.25">
      <c r="A83" s="5" t="s">
        <v>34</v>
      </c>
      <c r="B83" s="1">
        <v>-22293000</v>
      </c>
      <c r="C83" s="1">
        <v>-6903000</v>
      </c>
      <c r="D83" s="1">
        <v>-4741000</v>
      </c>
      <c r="E83" s="1">
        <v>1500000</v>
      </c>
      <c r="F83" s="1">
        <v>-2609000</v>
      </c>
      <c r="G83" s="1">
        <v>-3626000</v>
      </c>
      <c r="H83" s="1">
        <v>-9620000</v>
      </c>
      <c r="I83" s="1">
        <v>-8690000</v>
      </c>
      <c r="J83" s="1">
        <v>1994000</v>
      </c>
      <c r="K83" s="1">
        <v>-8459000</v>
      </c>
      <c r="L83" s="1">
        <v>-3549000</v>
      </c>
      <c r="M83" s="1">
        <v>-7508000</v>
      </c>
      <c r="T83" s="59" t="s">
        <v>126</v>
      </c>
      <c r="U83" s="60"/>
    </row>
    <row r="84" spans="1:38" ht="19" x14ac:dyDescent="0.25">
      <c r="A84" s="5" t="s">
        <v>47</v>
      </c>
      <c r="B84" s="1">
        <v>-905000</v>
      </c>
      <c r="C84" s="1">
        <v>-2231000</v>
      </c>
      <c r="D84" s="1">
        <v>-1147000</v>
      </c>
      <c r="E84" s="1">
        <v>-4047000</v>
      </c>
      <c r="F84" s="1">
        <v>-1680000</v>
      </c>
      <c r="G84" s="1">
        <v>5700000</v>
      </c>
      <c r="H84" s="1">
        <v>604000</v>
      </c>
      <c r="I84" s="1">
        <v>-2886000</v>
      </c>
      <c r="J84" s="1">
        <v>3233000</v>
      </c>
      <c r="K84" s="1">
        <v>-4224000</v>
      </c>
      <c r="L84" s="1">
        <v>5425000</v>
      </c>
      <c r="M84" s="1">
        <v>301000</v>
      </c>
      <c r="T84" s="61" t="s">
        <v>127</v>
      </c>
      <c r="U84" s="62"/>
    </row>
    <row r="85" spans="1:38" ht="20" x14ac:dyDescent="0.25">
      <c r="A85" s="5" t="s">
        <v>71</v>
      </c>
      <c r="B85" s="1">
        <v>-5995000</v>
      </c>
      <c r="C85" s="1">
        <v>5349000</v>
      </c>
      <c r="D85" s="1">
        <v>-4874000</v>
      </c>
      <c r="E85" s="1">
        <v>-3881000</v>
      </c>
      <c r="F85" s="1">
        <v>187000</v>
      </c>
      <c r="G85" s="1">
        <v>-112000</v>
      </c>
      <c r="H85" s="1">
        <v>-30000</v>
      </c>
      <c r="I85" s="1">
        <v>142660000</v>
      </c>
      <c r="J85" s="1">
        <v>106800000</v>
      </c>
      <c r="K85" s="1">
        <v>103721000</v>
      </c>
      <c r="L85" s="1">
        <v>145294000</v>
      </c>
      <c r="M85" s="1" t="s">
        <v>92</v>
      </c>
      <c r="T85" s="23" t="s">
        <v>128</v>
      </c>
      <c r="U85" s="24">
        <f>M17</f>
        <v>7185000</v>
      </c>
    </row>
    <row r="86" spans="1:38" ht="20" x14ac:dyDescent="0.25">
      <c r="A86" s="5" t="s">
        <v>72</v>
      </c>
      <c r="B86" s="1">
        <v>60921000</v>
      </c>
      <c r="C86" s="1">
        <v>17364000</v>
      </c>
      <c r="D86" s="1">
        <v>32359000</v>
      </c>
      <c r="E86" s="1">
        <v>7554000</v>
      </c>
      <c r="F86" s="1">
        <v>22221000</v>
      </c>
      <c r="G86" s="1">
        <v>-362000</v>
      </c>
      <c r="H86" s="1">
        <v>7115000</v>
      </c>
      <c r="I86" s="1">
        <v>5874000</v>
      </c>
      <c r="J86" s="1">
        <v>6593000</v>
      </c>
      <c r="K86" s="1">
        <v>14194000</v>
      </c>
      <c r="L86" s="1">
        <v>78481000</v>
      </c>
      <c r="M86" s="1">
        <v>-57242000</v>
      </c>
      <c r="T86" s="23" t="s">
        <v>129</v>
      </c>
      <c r="U86" s="24">
        <f>M56</f>
        <v>354000</v>
      </c>
    </row>
    <row r="87" spans="1:38" ht="20" x14ac:dyDescent="0.25">
      <c r="A87" s="6" t="s">
        <v>73</v>
      </c>
      <c r="B87" s="10">
        <v>23209000</v>
      </c>
      <c r="C87" s="10">
        <v>-372000</v>
      </c>
      <c r="D87" s="10">
        <v>-15572000</v>
      </c>
      <c r="E87" s="10">
        <v>11590000</v>
      </c>
      <c r="F87" s="10">
        <v>21762000</v>
      </c>
      <c r="G87" s="10">
        <v>49642000</v>
      </c>
      <c r="H87" s="10">
        <v>54777000</v>
      </c>
      <c r="I87" s="10">
        <v>61193000</v>
      </c>
      <c r="J87" s="10">
        <v>80384000</v>
      </c>
      <c r="K87" s="10">
        <v>16396000</v>
      </c>
      <c r="L87" s="10">
        <v>53916000</v>
      </c>
      <c r="M87" s="10">
        <v>281781000</v>
      </c>
      <c r="T87" s="23" t="s">
        <v>130</v>
      </c>
      <c r="U87" s="24">
        <f>M61</f>
        <v>557712000</v>
      </c>
    </row>
    <row r="88" spans="1:38" ht="20" x14ac:dyDescent="0.25">
      <c r="A88" s="5" t="s">
        <v>74</v>
      </c>
      <c r="B88" s="1">
        <v>0</v>
      </c>
      <c r="C88" s="1">
        <v>0</v>
      </c>
      <c r="D88" s="1">
        <v>0</v>
      </c>
      <c r="E88" s="1">
        <v>0</v>
      </c>
      <c r="F88" s="1">
        <v>0</v>
      </c>
      <c r="G88" s="1">
        <v>0</v>
      </c>
      <c r="H88" s="1">
        <v>0</v>
      </c>
      <c r="I88" s="1">
        <v>0</v>
      </c>
      <c r="J88" s="1">
        <v>0</v>
      </c>
      <c r="K88" s="1">
        <v>0</v>
      </c>
      <c r="L88" s="1">
        <v>0</v>
      </c>
      <c r="M88" s="1">
        <v>0</v>
      </c>
      <c r="T88" s="33" t="s">
        <v>131</v>
      </c>
      <c r="U88" s="34">
        <f>U85/(U86+U87)</f>
        <v>1.2874821257700703E-2</v>
      </c>
    </row>
    <row r="89" spans="1:38" ht="20" customHeight="1" x14ac:dyDescent="0.25">
      <c r="A89" s="14" t="s">
        <v>105</v>
      </c>
      <c r="B89" s="15">
        <f t="shared" ref="B89:M89" si="13">(-1*B88)/B3</f>
        <v>0</v>
      </c>
      <c r="C89" s="15">
        <f t="shared" si="13"/>
        <v>0</v>
      </c>
      <c r="D89" s="15">
        <f t="shared" si="13"/>
        <v>0</v>
      </c>
      <c r="E89" s="15">
        <f t="shared" si="13"/>
        <v>0</v>
      </c>
      <c r="F89" s="15">
        <f t="shared" si="13"/>
        <v>0</v>
      </c>
      <c r="G89" s="15">
        <f t="shared" si="13"/>
        <v>0</v>
      </c>
      <c r="H89" s="15">
        <f t="shared" si="13"/>
        <v>0</v>
      </c>
      <c r="I89" s="15">
        <f t="shared" si="13"/>
        <v>0</v>
      </c>
      <c r="J89" s="15">
        <f t="shared" si="13"/>
        <v>0</v>
      </c>
      <c r="K89" s="15">
        <f t="shared" si="13"/>
        <v>0</v>
      </c>
      <c r="L89" s="15">
        <f t="shared" si="13"/>
        <v>0</v>
      </c>
      <c r="M89" s="15">
        <f t="shared" si="13"/>
        <v>0</v>
      </c>
      <c r="T89" s="23" t="s">
        <v>106</v>
      </c>
      <c r="U89" s="24">
        <f>M27</f>
        <v>-1348000</v>
      </c>
      <c r="V89" s="15"/>
      <c r="AH89" s="15"/>
      <c r="AI89" s="15"/>
      <c r="AJ89" s="15"/>
      <c r="AK89" s="15"/>
      <c r="AL89" s="15"/>
    </row>
    <row r="90" spans="1:38" ht="20" x14ac:dyDescent="0.25">
      <c r="A90" s="5" t="s">
        <v>75</v>
      </c>
      <c r="B90" s="1" t="s">
        <v>92</v>
      </c>
      <c r="C90" s="1" t="s">
        <v>92</v>
      </c>
      <c r="D90" s="1" t="s">
        <v>92</v>
      </c>
      <c r="E90" s="1" t="s">
        <v>92</v>
      </c>
      <c r="F90" s="1" t="s">
        <v>92</v>
      </c>
      <c r="G90" s="1" t="s">
        <v>92</v>
      </c>
      <c r="H90" s="1" t="s">
        <v>92</v>
      </c>
      <c r="I90" s="1" t="s">
        <v>92</v>
      </c>
      <c r="J90" s="1" t="s">
        <v>92</v>
      </c>
      <c r="K90" s="1">
        <v>17562000</v>
      </c>
      <c r="L90" s="1" t="s">
        <v>92</v>
      </c>
      <c r="M90" s="1" t="s">
        <v>92</v>
      </c>
      <c r="T90" s="23" t="s">
        <v>19</v>
      </c>
      <c r="U90" s="24">
        <f>M25</f>
        <v>26719000</v>
      </c>
    </row>
    <row r="91" spans="1:38"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T91" s="33" t="s">
        <v>132</v>
      </c>
      <c r="U91" s="34">
        <f>U89/U90</f>
        <v>-5.0450989932257946E-2</v>
      </c>
    </row>
    <row r="92" spans="1:38"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T92" s="35" t="s">
        <v>133</v>
      </c>
      <c r="U92" s="36">
        <f>U88*(1-U91)</f>
        <v>1.3524368735352583E-2</v>
      </c>
    </row>
    <row r="93" spans="1:38" ht="19" x14ac:dyDescent="0.25">
      <c r="A93" s="5" t="s">
        <v>78</v>
      </c>
      <c r="B93" s="1">
        <v>-7694000</v>
      </c>
      <c r="C93" s="1">
        <v>-8145000</v>
      </c>
      <c r="D93" s="1">
        <v>-3483000</v>
      </c>
      <c r="E93" s="1">
        <v>-7682000</v>
      </c>
      <c r="F93" s="1">
        <v>-13151000</v>
      </c>
      <c r="G93" s="1">
        <v>3281000</v>
      </c>
      <c r="H93" s="1">
        <v>-16309000</v>
      </c>
      <c r="I93" s="1">
        <v>-19132000</v>
      </c>
      <c r="J93" s="1">
        <v>-22061000</v>
      </c>
      <c r="K93" s="1">
        <v>-22474000</v>
      </c>
      <c r="L93" s="1">
        <v>3683000</v>
      </c>
      <c r="M93" s="1">
        <v>-276547000</v>
      </c>
      <c r="T93" s="61" t="s">
        <v>134</v>
      </c>
      <c r="U93" s="62"/>
    </row>
    <row r="94" spans="1:38" ht="20" x14ac:dyDescent="0.25">
      <c r="A94" s="6" t="s">
        <v>79</v>
      </c>
      <c r="B94" s="10">
        <v>-7694000</v>
      </c>
      <c r="C94" s="10">
        <v>-8145000</v>
      </c>
      <c r="D94" s="10">
        <v>-3483000</v>
      </c>
      <c r="E94" s="10">
        <v>-7682000</v>
      </c>
      <c r="F94" s="10">
        <v>-13151000</v>
      </c>
      <c r="G94" s="10">
        <v>3281000</v>
      </c>
      <c r="H94" s="10">
        <v>-16309000</v>
      </c>
      <c r="I94" s="10">
        <v>-19132000</v>
      </c>
      <c r="J94" s="10">
        <v>-22061000</v>
      </c>
      <c r="K94" s="10">
        <v>-4912000</v>
      </c>
      <c r="L94" s="10">
        <v>3683000</v>
      </c>
      <c r="M94" s="10">
        <v>-276547000</v>
      </c>
      <c r="T94" s="23" t="s">
        <v>135</v>
      </c>
      <c r="U94" s="37">
        <v>4.095E-2</v>
      </c>
    </row>
    <row r="95" spans="1:38" ht="20" x14ac:dyDescent="0.25">
      <c r="A95" s="5" t="s">
        <v>80</v>
      </c>
      <c r="B95" s="1">
        <v>-10000000</v>
      </c>
      <c r="C95" s="1">
        <v>-1530000</v>
      </c>
      <c r="D95" s="1">
        <v>-1310000</v>
      </c>
      <c r="E95" s="1">
        <v>-5571000</v>
      </c>
      <c r="F95" s="1">
        <v>-419652000</v>
      </c>
      <c r="G95" s="1">
        <v>-78729000</v>
      </c>
      <c r="H95" s="1">
        <v>-286694000</v>
      </c>
      <c r="I95" s="1">
        <v>-2862000</v>
      </c>
      <c r="J95" s="1">
        <v>-275376000</v>
      </c>
      <c r="K95" s="1">
        <v>-15491000</v>
      </c>
      <c r="L95" s="1">
        <v>-43348000</v>
      </c>
      <c r="M95" s="1">
        <v>-175385000</v>
      </c>
      <c r="T95" s="23" t="s">
        <v>136</v>
      </c>
      <c r="U95" s="38" cm="1">
        <f t="array" ref="U95">_FV(A1,"Beta")</f>
        <v>0.65810000000000002</v>
      </c>
    </row>
    <row r="96" spans="1:38" ht="20" x14ac:dyDescent="0.25">
      <c r="A96" s="5" t="s">
        <v>81</v>
      </c>
      <c r="B96" s="1" t="s">
        <v>92</v>
      </c>
      <c r="C96" s="1">
        <v>551000</v>
      </c>
      <c r="D96" s="1">
        <v>400000</v>
      </c>
      <c r="E96" s="1">
        <v>13000</v>
      </c>
      <c r="F96" s="1">
        <v>73539000</v>
      </c>
      <c r="G96" s="1">
        <v>50900000</v>
      </c>
      <c r="H96" s="1">
        <v>187000</v>
      </c>
      <c r="I96" s="1">
        <v>428000</v>
      </c>
      <c r="J96" s="1">
        <v>573000</v>
      </c>
      <c r="K96" s="1">
        <v>683000</v>
      </c>
      <c r="L96" s="1">
        <v>767000</v>
      </c>
      <c r="M96" s="1">
        <v>1375000</v>
      </c>
      <c r="T96" s="23" t="s">
        <v>137</v>
      </c>
      <c r="U96" s="37">
        <v>8.4000000000000005E-2</v>
      </c>
    </row>
    <row r="97" spans="1:42" ht="20" x14ac:dyDescent="0.25">
      <c r="A97" s="5" t="s">
        <v>82</v>
      </c>
      <c r="B97" s="1">
        <v>-44095000</v>
      </c>
      <c r="C97" s="1">
        <v>-174000</v>
      </c>
      <c r="D97" s="1">
        <v>-106000</v>
      </c>
      <c r="E97" s="1" t="s">
        <v>92</v>
      </c>
      <c r="F97" s="1" t="s">
        <v>92</v>
      </c>
      <c r="G97" s="1" t="s">
        <v>92</v>
      </c>
      <c r="H97" s="1" t="s">
        <v>92</v>
      </c>
      <c r="I97" s="1" t="s">
        <v>92</v>
      </c>
      <c r="J97" s="1" t="s">
        <v>92</v>
      </c>
      <c r="K97" s="1" t="s">
        <v>92</v>
      </c>
      <c r="L97" s="1" t="s">
        <v>92</v>
      </c>
      <c r="M97" s="1">
        <v>-75000000</v>
      </c>
      <c r="T97" s="35" t="s">
        <v>138</v>
      </c>
      <c r="U97" s="36">
        <f>(U94)+((U95)*(U96-U94))</f>
        <v>6.9281205000000012E-2</v>
      </c>
    </row>
    <row r="98" spans="1:42" ht="19" x14ac:dyDescent="0.25">
      <c r="A98" s="5" t="s">
        <v>83</v>
      </c>
      <c r="B98" s="1">
        <v>-101124000</v>
      </c>
      <c r="C98" s="1">
        <v>-3519000</v>
      </c>
      <c r="D98" s="1">
        <v>-123000</v>
      </c>
      <c r="E98" s="1" t="s">
        <v>92</v>
      </c>
      <c r="F98" s="1" t="s">
        <v>92</v>
      </c>
      <c r="G98" s="1" t="s">
        <v>92</v>
      </c>
      <c r="H98" s="1" t="s">
        <v>92</v>
      </c>
      <c r="I98" s="1" t="s">
        <v>92</v>
      </c>
      <c r="J98" s="1" t="s">
        <v>92</v>
      </c>
      <c r="K98" s="1" t="s">
        <v>92</v>
      </c>
      <c r="L98" s="1" t="s">
        <v>92</v>
      </c>
      <c r="M98" s="1" t="s">
        <v>92</v>
      </c>
      <c r="T98" s="61" t="s">
        <v>139</v>
      </c>
      <c r="U98" s="62"/>
    </row>
    <row r="99" spans="1:42" ht="20" x14ac:dyDescent="0.25">
      <c r="A99" s="5" t="s">
        <v>84</v>
      </c>
      <c r="B99" s="1">
        <v>153009000</v>
      </c>
      <c r="C99" s="1">
        <v>-442000</v>
      </c>
      <c r="D99" s="1">
        <v>6751000</v>
      </c>
      <c r="E99" s="1">
        <v>3261000</v>
      </c>
      <c r="F99" s="1">
        <v>347112000</v>
      </c>
      <c r="G99" s="1">
        <v>-2388000</v>
      </c>
      <c r="H99" s="1">
        <v>273057000</v>
      </c>
      <c r="I99" s="1">
        <v>-2234000</v>
      </c>
      <c r="J99" s="1">
        <v>195922000</v>
      </c>
      <c r="K99" s="1">
        <v>-7053000</v>
      </c>
      <c r="L99" s="1">
        <v>3249000</v>
      </c>
      <c r="M99" s="1">
        <v>560701000</v>
      </c>
      <c r="T99" s="23" t="s">
        <v>140</v>
      </c>
      <c r="U99" s="24">
        <f>U86+U87</f>
        <v>558066000</v>
      </c>
    </row>
    <row r="100" spans="1:42" ht="20" x14ac:dyDescent="0.25">
      <c r="A100" s="6" t="s">
        <v>85</v>
      </c>
      <c r="B100" s="10">
        <v>-2210000</v>
      </c>
      <c r="C100" s="10">
        <v>-5114000</v>
      </c>
      <c r="D100" s="10">
        <v>5612000</v>
      </c>
      <c r="E100" s="10">
        <v>-2297000</v>
      </c>
      <c r="F100" s="10">
        <v>999000</v>
      </c>
      <c r="G100" s="10">
        <v>-30217000</v>
      </c>
      <c r="H100" s="10">
        <v>-13450000</v>
      </c>
      <c r="I100" s="10">
        <v>-4668000</v>
      </c>
      <c r="J100" s="10">
        <v>-78881000</v>
      </c>
      <c r="K100" s="10">
        <v>-21861000</v>
      </c>
      <c r="L100" s="10">
        <v>-39332000</v>
      </c>
      <c r="M100" s="10">
        <v>311691000</v>
      </c>
      <c r="T100" s="33" t="s">
        <v>141</v>
      </c>
      <c r="U100" s="34">
        <f>U99/U103</f>
        <v>8.2891471959271754E-2</v>
      </c>
    </row>
    <row r="101" spans="1:42" ht="20" x14ac:dyDescent="0.25">
      <c r="A101" s="5" t="s">
        <v>86</v>
      </c>
      <c r="B101" s="1">
        <v>-134000</v>
      </c>
      <c r="C101" s="1">
        <v>649000</v>
      </c>
      <c r="D101" s="1">
        <v>-1300000</v>
      </c>
      <c r="E101" s="1">
        <v>-450000</v>
      </c>
      <c r="F101" s="1">
        <v>-753000</v>
      </c>
      <c r="G101" s="1">
        <v>-124000</v>
      </c>
      <c r="H101" s="1">
        <v>94000</v>
      </c>
      <c r="I101" s="1">
        <v>-282000</v>
      </c>
      <c r="J101" s="1">
        <v>76000</v>
      </c>
      <c r="K101" s="1">
        <v>152000</v>
      </c>
      <c r="L101" s="1">
        <v>-310000</v>
      </c>
      <c r="M101" s="1">
        <v>-335000</v>
      </c>
      <c r="T101" s="23" t="s">
        <v>142</v>
      </c>
      <c r="U101" s="39" cm="1">
        <f t="array" ref="U101">_FV(A1,"Market cap",TRUE)</f>
        <v>6174423927</v>
      </c>
    </row>
    <row r="102" spans="1:42" ht="20" x14ac:dyDescent="0.25">
      <c r="A102" s="6" t="s">
        <v>87</v>
      </c>
      <c r="B102" s="10">
        <v>13171000</v>
      </c>
      <c r="C102" s="10">
        <v>-12982000</v>
      </c>
      <c r="D102" s="10">
        <v>-14743000</v>
      </c>
      <c r="E102" s="10">
        <v>1161000</v>
      </c>
      <c r="F102" s="10">
        <v>8857000</v>
      </c>
      <c r="G102" s="10">
        <v>22582000</v>
      </c>
      <c r="H102" s="10">
        <v>25112000</v>
      </c>
      <c r="I102" s="10">
        <v>37111000</v>
      </c>
      <c r="J102" s="10">
        <v>-20482000</v>
      </c>
      <c r="K102" s="10">
        <v>-10225000</v>
      </c>
      <c r="L102" s="10">
        <v>17957000</v>
      </c>
      <c r="M102" s="10">
        <v>316590000</v>
      </c>
      <c r="T102" s="33" t="s">
        <v>143</v>
      </c>
      <c r="U102" s="34">
        <f>U101/U103</f>
        <v>0.91710852804072829</v>
      </c>
    </row>
    <row r="103" spans="1:42" ht="20" x14ac:dyDescent="0.25">
      <c r="A103" s="5" t="s">
        <v>88</v>
      </c>
      <c r="B103" s="1">
        <v>33132000</v>
      </c>
      <c r="C103" s="1">
        <v>46303000</v>
      </c>
      <c r="D103" s="1">
        <v>33321000</v>
      </c>
      <c r="E103" s="1">
        <v>18578000</v>
      </c>
      <c r="F103" s="1">
        <v>19739000</v>
      </c>
      <c r="G103" s="1">
        <v>28596000</v>
      </c>
      <c r="H103" s="1">
        <v>51178000</v>
      </c>
      <c r="I103" s="1">
        <v>76290000</v>
      </c>
      <c r="J103" s="1">
        <v>113401000</v>
      </c>
      <c r="K103" s="1">
        <v>92919000</v>
      </c>
      <c r="L103" s="1">
        <v>82694000</v>
      </c>
      <c r="M103" s="1">
        <v>100651000</v>
      </c>
      <c r="T103" s="35" t="s">
        <v>144</v>
      </c>
      <c r="U103" s="40">
        <f>U99+U101</f>
        <v>6732489927</v>
      </c>
    </row>
    <row r="104" spans="1:42" ht="20" thickBot="1" x14ac:dyDescent="0.3">
      <c r="A104" s="7" t="s">
        <v>89</v>
      </c>
      <c r="B104" s="11">
        <v>46303000</v>
      </c>
      <c r="C104" s="11">
        <v>33321000</v>
      </c>
      <c r="D104" s="11">
        <v>18578000</v>
      </c>
      <c r="E104" s="11">
        <v>19739000</v>
      </c>
      <c r="F104" s="11">
        <v>28596000</v>
      </c>
      <c r="G104" s="11">
        <v>51178000</v>
      </c>
      <c r="H104" s="11">
        <v>76290000</v>
      </c>
      <c r="I104" s="11">
        <v>113401000</v>
      </c>
      <c r="J104" s="11">
        <v>92919000</v>
      </c>
      <c r="K104" s="11">
        <v>82694000</v>
      </c>
      <c r="L104" s="11">
        <v>100651000</v>
      </c>
      <c r="M104" s="11">
        <v>417241000</v>
      </c>
      <c r="T104" s="61" t="s">
        <v>145</v>
      </c>
      <c r="U104" s="62"/>
    </row>
    <row r="105" spans="1:42" ht="21" thickTop="1" x14ac:dyDescent="0.25">
      <c r="A105" s="14" t="s">
        <v>107</v>
      </c>
      <c r="B105" s="1"/>
      <c r="C105" s="15">
        <f>(C106/B106)-1</f>
        <v>-1.534450531743474</v>
      </c>
      <c r="D105" s="15">
        <f>(D106/C106)-1</f>
        <v>1.4821514712976365</v>
      </c>
      <c r="E105" s="15">
        <f>(E106/D106)-1</f>
        <v>-1.1677679525799243</v>
      </c>
      <c r="F105" s="15">
        <f>(F106/E106)-1</f>
        <v>1.4937735302635389</v>
      </c>
      <c r="G105" s="15">
        <f>(G106/F106)-1</f>
        <v>3.9058181395888978</v>
      </c>
      <c r="H105" s="15">
        <f t="shared" ref="H105:K105" si="14">(H106/G106)-1</f>
        <v>-0.11859672379509512</v>
      </c>
      <c r="I105" s="15">
        <f t="shared" si="14"/>
        <v>0.1027824031798894</v>
      </c>
      <c r="J105" s="15">
        <f t="shared" si="14"/>
        <v>0.420398918681961</v>
      </c>
      <c r="K105" s="15">
        <f t="shared" si="14"/>
        <v>-0.93275380210208669</v>
      </c>
      <c r="L105" s="15">
        <f t="shared" ref="L105" si="15">(L106/K106)-1</f>
        <v>9.6517083120856704</v>
      </c>
      <c r="M105" s="15">
        <f t="shared" ref="M105" si="16">(M106/L106)-1</f>
        <v>5.3058693986978165</v>
      </c>
      <c r="N105" s="15"/>
      <c r="O105" s="15"/>
      <c r="P105" s="15"/>
      <c r="Q105" s="15"/>
      <c r="R105" s="15"/>
      <c r="S105" s="15"/>
      <c r="T105" s="25" t="s">
        <v>108</v>
      </c>
      <c r="U105" s="26">
        <f>(U100*U92)+(U102*U97)</f>
        <v>6.4659438770231281E-2</v>
      </c>
      <c r="V105" s="15"/>
      <c r="AH105" s="15"/>
      <c r="AI105" s="15"/>
      <c r="AJ105" s="15"/>
      <c r="AK105" s="15"/>
      <c r="AL105" s="15"/>
      <c r="AM105" s="15"/>
      <c r="AN105" s="15"/>
      <c r="AO105" s="15"/>
      <c r="AP105" s="15"/>
    </row>
    <row r="106" spans="1:42" ht="19" x14ac:dyDescent="0.25">
      <c r="A106" s="5" t="s">
        <v>90</v>
      </c>
      <c r="B106" s="1">
        <v>15515000</v>
      </c>
      <c r="C106" s="1">
        <v>-8292000</v>
      </c>
      <c r="D106" s="1">
        <v>-20582000</v>
      </c>
      <c r="E106" s="1">
        <v>3453000</v>
      </c>
      <c r="F106" s="1">
        <v>8611000</v>
      </c>
      <c r="G106" s="1">
        <v>42244000</v>
      </c>
      <c r="H106" s="1">
        <v>37234000</v>
      </c>
      <c r="I106" s="1">
        <v>41061000</v>
      </c>
      <c r="J106" s="1">
        <v>58323000</v>
      </c>
      <c r="K106" s="1">
        <v>3922000</v>
      </c>
      <c r="L106" s="1">
        <v>41776000</v>
      </c>
      <c r="M106" s="1">
        <v>263434000</v>
      </c>
      <c r="N106" s="41">
        <f>M106*(1+$U$106)</f>
        <v>296892296.51429999</v>
      </c>
      <c r="O106" s="41">
        <f t="shared" ref="O106:R106" si="17">N106*(1+$U$106)</f>
        <v>334600073.37524784</v>
      </c>
      <c r="P106" s="41">
        <f t="shared" si="17"/>
        <v>377097049.728701</v>
      </c>
      <c r="Q106" s="41">
        <f t="shared" si="17"/>
        <v>424991493.51534438</v>
      </c>
      <c r="R106" s="41">
        <f t="shared" si="17"/>
        <v>478968927.73450971</v>
      </c>
      <c r="S106" s="42" t="s">
        <v>146</v>
      </c>
      <c r="T106" s="43" t="s">
        <v>147</v>
      </c>
      <c r="U106" s="44">
        <f>(SUM(N4:R4)/5)</f>
        <v>0.12700826967779405</v>
      </c>
    </row>
    <row r="107" spans="1:42" ht="19" x14ac:dyDescent="0.25">
      <c r="A107" s="5"/>
      <c r="B107" s="13"/>
      <c r="C107" s="13"/>
      <c r="D107" s="13"/>
      <c r="E107" s="13"/>
      <c r="F107" s="13"/>
      <c r="G107" s="13"/>
      <c r="H107" s="13"/>
      <c r="I107" s="13"/>
      <c r="J107" s="13"/>
      <c r="K107" s="13"/>
      <c r="L107" s="13"/>
      <c r="M107" s="13"/>
      <c r="N107" s="42"/>
      <c r="O107" s="42"/>
      <c r="P107" s="42"/>
      <c r="Q107" s="42"/>
      <c r="R107" s="45">
        <f>R106*(1+U107)/(U108-U107)</f>
        <v>12378973736.168415</v>
      </c>
      <c r="S107" s="46" t="s">
        <v>148</v>
      </c>
      <c r="T107" s="47" t="s">
        <v>149</v>
      </c>
      <c r="U107" s="48">
        <v>2.5000000000000001E-2</v>
      </c>
    </row>
    <row r="108" spans="1:42" ht="19" x14ac:dyDescent="0.25">
      <c r="N108" s="45">
        <f t="shared" ref="N108:P108" si="18">N107+N106</f>
        <v>296892296.51429999</v>
      </c>
      <c r="O108" s="45">
        <f t="shared" si="18"/>
        <v>334600073.37524784</v>
      </c>
      <c r="P108" s="45">
        <f t="shared" si="18"/>
        <v>377097049.728701</v>
      </c>
      <c r="Q108" s="45">
        <f>Q107+Q106</f>
        <v>424991493.51534438</v>
      </c>
      <c r="R108" s="45">
        <f>R107+R106</f>
        <v>12857942663.902925</v>
      </c>
      <c r="S108" s="46" t="s">
        <v>144</v>
      </c>
      <c r="T108" s="49" t="s">
        <v>150</v>
      </c>
      <c r="U108" s="50">
        <f>U105</f>
        <v>6.4659438770231281E-2</v>
      </c>
    </row>
    <row r="109" spans="1:42" ht="19" x14ac:dyDescent="0.25">
      <c r="N109" s="63" t="s">
        <v>151</v>
      </c>
      <c r="O109" s="64"/>
    </row>
    <row r="110" spans="1:42" ht="20" x14ac:dyDescent="0.25">
      <c r="N110" s="51" t="s">
        <v>152</v>
      </c>
      <c r="O110" s="39">
        <f>NPV(U108,N108,O108,P108,Q108,R108)</f>
        <v>10617096484.372221</v>
      </c>
    </row>
    <row r="111" spans="1:42" ht="20" x14ac:dyDescent="0.25">
      <c r="N111" s="51" t="s">
        <v>153</v>
      </c>
      <c r="O111" s="39">
        <f>M40</f>
        <v>415652000</v>
      </c>
    </row>
    <row r="112" spans="1:42" ht="20" x14ac:dyDescent="0.25">
      <c r="N112" s="51" t="s">
        <v>140</v>
      </c>
      <c r="O112" s="39">
        <f>U99</f>
        <v>558066000</v>
      </c>
    </row>
    <row r="113" spans="14:15" ht="20" x14ac:dyDescent="0.25">
      <c r="N113" s="51" t="s">
        <v>154</v>
      </c>
      <c r="O113" s="39">
        <f>O110+O111-O112</f>
        <v>10474682484.372221</v>
      </c>
    </row>
    <row r="114" spans="14:15" ht="20" x14ac:dyDescent="0.25">
      <c r="N114" s="51" t="s">
        <v>155</v>
      </c>
      <c r="O114" s="52">
        <f>M34*(1+(5*S16))</f>
        <v>119163480.73729688</v>
      </c>
    </row>
    <row r="115" spans="14:15" ht="20" x14ac:dyDescent="0.25">
      <c r="N115" s="53" t="s">
        <v>156</v>
      </c>
      <c r="O115" s="54">
        <f>O113/O114</f>
        <v>87.901783495769934</v>
      </c>
    </row>
    <row r="116" spans="14:15" ht="20" x14ac:dyDescent="0.25">
      <c r="N116" s="51" t="s">
        <v>157</v>
      </c>
      <c r="O116" s="55" cm="1">
        <f t="array" ref="O116">_FV(A1,"Price")</f>
        <v>90.53</v>
      </c>
    </row>
    <row r="117" spans="14:15" ht="20" x14ac:dyDescent="0.25">
      <c r="N117" s="56" t="s">
        <v>158</v>
      </c>
      <c r="O117" s="57">
        <f>O115/O116-1</f>
        <v>-2.9031442662433071E-2</v>
      </c>
    </row>
    <row r="118" spans="14:15" ht="20" x14ac:dyDescent="0.25">
      <c r="N118" s="56" t="s">
        <v>159</v>
      </c>
      <c r="O118" s="58" t="str">
        <f>IF(O115&gt;O116,"BUY","SELL")</f>
        <v>SELL</v>
      </c>
    </row>
  </sheetData>
  <mergeCells count="6">
    <mergeCell ref="N109:O109"/>
    <mergeCell ref="T83:U83"/>
    <mergeCell ref="T84:U84"/>
    <mergeCell ref="T93:U93"/>
    <mergeCell ref="T98:U98"/>
    <mergeCell ref="T104:U104"/>
  </mergeCells>
  <hyperlinks>
    <hyperlink ref="A1" r:id="rId1" tooltip="https://roic.ai/company/LNTH" display="ROIC.AI | LNT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521036/000119312516490104/0001193125-16-490104-index.html" xr:uid="{00000000-0004-0000-0000-00000D000000}"/>
    <hyperlink ref="F74" r:id="rId11" tooltip="https://www.sec.gov/Archives/edgar/data/1521036/000119312516490104/0001193125-16-490104-index.html" xr:uid="{00000000-0004-0000-0000-00000E000000}"/>
    <hyperlink ref="G36" r:id="rId12" tooltip="https://www.sec.gov/Archives/edgar/data/1521036/000119312517053986/0001193125-17-053986-index.html" xr:uid="{00000000-0004-0000-0000-000010000000}"/>
    <hyperlink ref="G74" r:id="rId13" tooltip="https://www.sec.gov/Archives/edgar/data/1521036/000119312517053986/0001193125-17-053986-index.html" xr:uid="{00000000-0004-0000-0000-000011000000}"/>
    <hyperlink ref="H36" r:id="rId14" tooltip="https://www.sec.gov/Archives/edgar/data/1521036/000162828018002261/0001628280-18-002261-index.html" xr:uid="{00000000-0004-0000-0000-000013000000}"/>
    <hyperlink ref="H74" r:id="rId15" tooltip="https://www.sec.gov/Archives/edgar/data/1521036/000162828018002261/0001628280-18-002261-index.html" xr:uid="{00000000-0004-0000-0000-000014000000}"/>
    <hyperlink ref="I36" r:id="rId16" tooltip="https://www.sec.gov/Archives/edgar/data/1521036/000162828019001574/0001628280-19-001574-index.html" xr:uid="{00000000-0004-0000-0000-000016000000}"/>
    <hyperlink ref="I74" r:id="rId17" tooltip="https://www.sec.gov/Archives/edgar/data/1521036/000162828019001574/0001628280-19-001574-index.html" xr:uid="{00000000-0004-0000-0000-000017000000}"/>
    <hyperlink ref="J36" r:id="rId18" tooltip="https://www.sec.gov/Archives/edgar/data/1521036/000162828020002197/0001628280-20-002197-index.html" xr:uid="{00000000-0004-0000-0000-000019000000}"/>
    <hyperlink ref="J74" r:id="rId19" tooltip="https://www.sec.gov/Archives/edgar/data/1521036/000162828020002197/0001628280-20-002197-index.html" xr:uid="{00000000-0004-0000-0000-00001A000000}"/>
    <hyperlink ref="K36" r:id="rId20" tooltip="https://www.sec.gov/Archives/edgar/data/1521036/000162828021003336/0001628280-21-003336-index.htm" xr:uid="{00000000-0004-0000-0000-00001C000000}"/>
    <hyperlink ref="K74" r:id="rId21" tooltip="https://www.sec.gov/Archives/edgar/data/1521036/000162828021003336/0001628280-21-003336-index.htm" xr:uid="{00000000-0004-0000-0000-00001D000000}"/>
    <hyperlink ref="L36" r:id="rId22" tooltip="https://www.sec.gov/Archives/edgar/data/1521036/000162828022003657/0001628280-22-003657-index.htm" xr:uid="{00000000-0004-0000-0000-00001F000000}"/>
    <hyperlink ref="L74" r:id="rId23" tooltip="https://www.sec.gov/Archives/edgar/data/1521036/000162828022003657/0001628280-22-003657-index.htm" xr:uid="{00000000-0004-0000-0000-000020000000}"/>
    <hyperlink ref="M36" r:id="rId24" tooltip="https://www.sec.gov/Archives/edgar/data/1521036/000162828023004698/0001628280-23-004698-index.htm" xr:uid="{00000000-0004-0000-0000-000022000000}"/>
    <hyperlink ref="M74" r:id="rId25" tooltip="https://www.sec.gov/Archives/edgar/data/1521036/000162828023004698/0001628280-23-004698-index.htm" xr:uid="{00000000-0004-0000-0000-000023000000}"/>
    <hyperlink ref="N1" r:id="rId26" display="https://finbox.com/NASDAQGM:LNTH/explorer/revenue_proj" xr:uid="{2068E38E-FE2F-484B-8064-ED51C363065F}"/>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2023-03-13T20:31:40Z</dcterms:created>
  <dcterms:modified xsi:type="dcterms:W3CDTF">2023-04-20T10:27:31Z</dcterms:modified>
</cp:coreProperties>
</file>