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08B0C9C-4E34-D042-8E68-44A5BA1813A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4" i="1" l="1"/>
  <c r="O116" i="1" a="1"/>
  <c r="O116" i="1" s="1"/>
  <c r="U95" i="1" a="1"/>
  <c r="U95" i="1" s="1"/>
  <c r="U97" i="1" s="1"/>
  <c r="U13" i="1"/>
  <c r="U101" i="1" a="1"/>
  <c r="U101" i="1" s="1"/>
  <c r="T16" i="1" s="1"/>
  <c r="O106" i="1"/>
  <c r="P106" i="1"/>
  <c r="Q106" i="1"/>
  <c r="R106" i="1" s="1"/>
  <c r="N106" i="1"/>
  <c r="S19" i="1"/>
  <c r="U88" i="1"/>
  <c r="O111" i="1"/>
  <c r="N108" i="1"/>
  <c r="U90" i="1"/>
  <c r="U91" i="1" s="1"/>
  <c r="U89" i="1"/>
  <c r="U87" i="1"/>
  <c r="U99" i="1" s="1"/>
  <c r="U86" i="1"/>
  <c r="U85" i="1"/>
  <c r="S16" i="1"/>
  <c r="V13" i="1"/>
  <c r="T13" i="1"/>
  <c r="S13" i="1"/>
  <c r="V10" i="1"/>
  <c r="U10" i="1"/>
  <c r="T10" i="1"/>
  <c r="S10" i="1"/>
  <c r="V7" i="1"/>
  <c r="U7" i="1"/>
  <c r="T7" i="1"/>
  <c r="S7" i="1"/>
  <c r="V4" i="1"/>
  <c r="U4" i="1"/>
  <c r="T4" i="1"/>
  <c r="S4" i="1"/>
  <c r="R4" i="1"/>
  <c r="Q4" i="1"/>
  <c r="P4" i="1"/>
  <c r="O4" i="1"/>
  <c r="N4" i="1"/>
  <c r="L13" i="1"/>
  <c r="M13" i="1"/>
  <c r="L20" i="1"/>
  <c r="M20" i="1"/>
  <c r="L9" i="1"/>
  <c r="M9" i="1"/>
  <c r="L29" i="1"/>
  <c r="M29" i="1"/>
  <c r="L35" i="1"/>
  <c r="M35" i="1"/>
  <c r="L80" i="1"/>
  <c r="M80" i="1"/>
  <c r="L89" i="1"/>
  <c r="M89" i="1"/>
  <c r="L105" i="1"/>
  <c r="M105" i="1"/>
  <c r="AT105" i="1"/>
  <c r="K105" i="1"/>
  <c r="J105" i="1"/>
  <c r="I105" i="1"/>
  <c r="H105" i="1"/>
  <c r="G105" i="1"/>
  <c r="F105" i="1"/>
  <c r="E105" i="1"/>
  <c r="D105" i="1"/>
  <c r="C105"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U106" i="1" l="1"/>
  <c r="V16" i="1"/>
  <c r="U16" i="1"/>
  <c r="O112" i="1"/>
  <c r="U103" i="1"/>
  <c r="U102" i="1" s="1"/>
  <c r="U92" i="1"/>
  <c r="U100" i="1" l="1"/>
  <c r="U105" i="1" s="1"/>
  <c r="U108" i="1" s="1"/>
  <c r="O108" i="1"/>
  <c r="P108" i="1" l="1"/>
  <c r="Q108" i="1" l="1"/>
  <c r="R107" i="1"/>
  <c r="R108" i="1" s="1"/>
  <c r="O110" i="1" s="1"/>
  <c r="O113" i="1" s="1"/>
  <c r="O115" i="1" s="1"/>
  <c r="O117" i="1" l="1"/>
  <c r="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<sst xmlns="http://schemas.openxmlformats.org/spreadsheetml/2006/main" count="401" uniqueCount="160">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</sst>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ANET</a:t>
            </a:r>
          </a:p>
        </c:rich>
      </c:tx>
      <c:layout>
        <c:manualLayout>
          <c:xMode val="edge"/>
          <c:yMode val="edge"/>
          <c:x val="0.46168928222815125"/>
          <c:y val="2.2454709638262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485950413223145E-2"/>
          <c:y val="0.10428179326493728"/>
          <c:w val="0.8779107438016529"/>
          <c:h val="0.76494966094513572"/>
        </c:manualLayout>
      </c:layout>
      <c:barChart>
        <c:barDir val="col"/>
        <c:grouping val="clustered"/>
        <c:varyColors val="0"/>
        <c:ser>
          <c:idx val="0"/>
          <c:order val="0"/>
          <c:tx>
            <c:strRef>
              <c:f>'Sheet 1'!$A$3</c:f>
              <c:strCache>
                <c:ptCount val="1"/>
                <c:pt idx="0">
                  <c:v>Revenue</c:v>
                </c:pt>
              </c:strCache>
            </c:strRef>
          </c:tx>
          <c:spPr>
            <a:solidFill>
              <a:schemeClr val="accent1"/>
            </a:solidFill>
            <a:ln>
              <a:noFill/>
            </a:ln>
            <a:effectLst/>
          </c:spPr>
          <c:invertIfNegative val="0"/>
          <c:val>
            <c:numRef>
              <c:f>'Sheet 1'!$B$3:$M$3</c:f>
              <c:numCache>
                <c:formatCode>#,###,,;\(#,###,,\);\ \-\ \-</c:formatCode>
                <c:ptCount val="12"/>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numCache>
            </c:numRef>
          </c:val>
          <c:extLst>
            <c:ext xmlns:c16="http://schemas.microsoft.com/office/drawing/2014/chart" uri="{C3380CC4-5D6E-409C-BE32-E72D297353CC}">
              <c16:uniqueId val="{00000000-0090-2946-A015-E2C358EE910B}"/>
            </c:ext>
          </c:extLst>
        </c:ser>
        <c:ser>
          <c:idx val="1"/>
          <c:order val="1"/>
          <c:tx>
            <c:strRef>
              <c:f>'Sheet 1'!$A$19</c:f>
              <c:strCache>
                <c:ptCount val="1"/>
                <c:pt idx="0">
                  <c:v>EBITDA</c:v>
                </c:pt>
              </c:strCache>
            </c:strRef>
          </c:tx>
          <c:spPr>
            <a:solidFill>
              <a:schemeClr val="accent2"/>
            </a:solidFill>
            <a:ln>
              <a:noFill/>
            </a:ln>
            <a:effectLst/>
          </c:spPr>
          <c:invertIfNegative val="0"/>
          <c:val>
            <c:numRef>
              <c:f>'Sheet 1'!$B$19:$M$19</c:f>
              <c:numCache>
                <c:formatCode>#,###,,;\(#,###,,\);\ \-\ \-</c:formatCode>
                <c:ptCount val="12"/>
                <c:pt idx="0">
                  <c:v>45336000</c:v>
                </c:pt>
                <c:pt idx="1">
                  <c:v>41811000</c:v>
                </c:pt>
                <c:pt idx="2">
                  <c:v>70438000</c:v>
                </c:pt>
                <c:pt idx="3">
                  <c:v>137809000</c:v>
                </c:pt>
                <c:pt idx="4">
                  <c:v>162832000</c:v>
                </c:pt>
                <c:pt idx="5">
                  <c:v>265110000</c:v>
                </c:pt>
                <c:pt idx="6">
                  <c:v>498180000</c:v>
                </c:pt>
                <c:pt idx="7">
                  <c:v>319173000</c:v>
                </c:pt>
                <c:pt idx="8">
                  <c:v>946263000</c:v>
                </c:pt>
                <c:pt idx="9">
                  <c:v>810592000</c:v>
                </c:pt>
                <c:pt idx="10">
                  <c:v>988428000</c:v>
                </c:pt>
                <c:pt idx="11">
                  <c:v>1657263000</c:v>
                </c:pt>
              </c:numCache>
            </c:numRef>
          </c:val>
          <c:extLst>
            <c:ext xmlns:c16="http://schemas.microsoft.com/office/drawing/2014/chart" uri="{C3380CC4-5D6E-409C-BE32-E72D297353CC}">
              <c16:uniqueId val="{00000001-0090-2946-A015-E2C358EE910B}"/>
            </c:ext>
          </c:extLst>
        </c:ser>
        <c:ser>
          <c:idx val="2"/>
          <c:order val="2"/>
          <c:tx>
            <c:strRef>
              <c:f>'Sheet 1'!$A$106</c:f>
              <c:strCache>
                <c:ptCount val="1"/>
                <c:pt idx="0">
                  <c:v>Free Cash Flow</c:v>
                </c:pt>
              </c:strCache>
            </c:strRef>
          </c:tx>
          <c:spPr>
            <a:solidFill>
              <a:schemeClr val="accent3"/>
            </a:solidFill>
            <a:ln>
              <a:noFill/>
            </a:ln>
            <a:effectLst/>
          </c:spPr>
          <c:invertIfNegative val="0"/>
          <c:val>
            <c:numRef>
              <c:f>'Sheet 1'!$B$106:$M$106</c:f>
              <c:numCache>
                <c:formatCode>#,###,,;\(#,###,,\);\ \-\ \-</c:formatCode>
                <c:ptCount val="12"/>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numCache>
            </c:numRef>
          </c:val>
          <c:extLst>
            <c:ext xmlns:c16="http://schemas.microsoft.com/office/drawing/2014/chart" uri="{C3380CC4-5D6E-409C-BE32-E72D297353CC}">
              <c16:uniqueId val="{00000002-0090-2946-A015-E2C358EE910B}"/>
            </c:ext>
          </c:extLst>
        </c:ser>
        <c:dLbls>
          <c:showLegendKey val="0"/>
          <c:showVal val="0"/>
          <c:showCatName val="0"/>
          <c:showSerName val="0"/>
          <c:showPercent val="0"/>
          <c:showBubbleSize val="0"/>
        </c:dLbls>
        <c:gapWidth val="219"/>
        <c:overlap val="-27"/>
        <c:axId val="1434861296"/>
        <c:axId val="1434851552"/>
      </c:barChart>
      <c:catAx>
        <c:axId val="143486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851552"/>
        <c:crosses val="autoZero"/>
        <c:auto val="1"/>
        <c:lblAlgn val="ctr"/>
        <c:lblOffset val="100"/>
        <c:noMultiLvlLbl val="0"/>
      </c:catAx>
      <c:valAx>
        <c:axId val="1434851552"/>
        <c:scaling>
          <c:orientation val="minMax"/>
        </c:scaling>
        <c:delete val="0"/>
        <c:axPos val="l"/>
        <c:majorGridlines>
          <c:spPr>
            <a:ln w="9525"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34861296"/>
        <c:crosses val="autoZero"/>
        <c:crossBetween val="between"/>
      </c:valAx>
      <c:spPr>
        <a:noFill/>
        <a:ln>
          <a:noFill/>
        </a:ln>
        <a:effectLst/>
      </c:spPr>
    </c:plotArea>
    <c:legend>
      <c:legendPos val="b"/>
      <c:layout>
        <c:manualLayout>
          <c:xMode val="edge"/>
          <c:yMode val="edge"/>
          <c:x val="0.34847306566018088"/>
          <c:y val="0.93161825643439145"/>
          <c:w val="0.30305376456042166"/>
          <c:h val="4.184435944766236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15874</xdr:colOff>
      <xdr:row>108</xdr:row>
      <xdr:rowOff>17463</xdr:rowOff>
    </xdr:from>
    <xdr:to>
      <xdr:col>20</xdr:col>
      <xdr:colOff>1603374</xdr:colOff>
      <xdr:row>136</xdr:row>
      <xdr:rowOff>0</xdr:rowOff>
    </xdr:to>
    <xdr:graphicFrame macro="">
      <xdr:nvGraphicFramePr>
        <xdr:cNvPr id="2" name="Chart 1">
          <a:extLst>
            <a:ext uri="{FF2B5EF4-FFF2-40B4-BE49-F238E27FC236}">
              <a16:creationId xmlns:a16="http://schemas.microsoft.com/office/drawing/2014/main" id="{D5258584-A0A6-11A6-788A-2B8B48369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171.44</v>
    <v>89.114999999999995</v>
    <v>1.2650999999999999</v>
    <v>0.48</v>
    <v>3.0890000000000002E-3</v>
    <v>-0.38</v>
    <v>-2.4380000000000001E-3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156.41</v>
    <v>Communications &amp; Networking</v>
    <v>Stock</v>
    <v>45037.986574536721</v>
    <v>0</v>
    <v>153.74</v>
    <v>47757850000</v>
    <v>ARISTA NETWORKS, INC.</v>
    <v>ARISTA NETWORKS, INC.</v>
    <v>155.43</v>
    <v>36.342300000000002</v>
    <v>155.38999999999999</v>
    <v>155.87</v>
    <v>155.49</v>
    <v>306395400</v>
    <v>ANET</v>
    <v>ARISTA NETWORKS, INC. (XNYS:ANET)</v>
    <v>1567715</v>
    <v>2627316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ASDAQGS: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L93" activePane="bottomRight" state="frozen"/>
      <selection pane="topRight"/>
      <selection pane="bottomLeft"/>
      <selection pane="bottomRight" activeCell="P100" sqref="P100"/>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9">
        <v>2023</v>
      </c>
      <c r="O1" s="29">
        <v>2024</v>
      </c>
      <c r="P1" s="29">
        <v>2025</v>
      </c>
      <c r="Q1" s="29">
        <v>2026</v>
      </c>
      <c r="R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30">
        <v>5485000000</v>
      </c>
      <c r="O3" s="30">
        <v>6118000000</v>
      </c>
      <c r="P3" s="30">
        <v>6622000000</v>
      </c>
      <c r="Q3" s="30">
        <v>7160000000</v>
      </c>
      <c r="R3" s="30">
        <v>7614000000</v>
      </c>
      <c r="S3" s="18" t="s">
        <v>109</v>
      </c>
      <c r="T3" s="19" t="s">
        <v>110</v>
      </c>
      <c r="U3" s="19" t="s">
        <v>111</v>
      </c>
      <c r="V3" s="19" t="s">
        <v>112</v>
      </c>
    </row>
    <row r="4" spans="1:42" ht="19" x14ac:dyDescent="0.25">
      <c r="A4" s="14" t="s">
        <v>94</v>
      </c>
      <c r="B4" s="1"/>
      <c r="C4" s="15">
        <f>(C3/B3)-1</f>
        <v>0.38298724329271772</v>
      </c>
      <c r="D4" s="15">
        <f>(D3/C3)-1</f>
        <v>0.8676786896095301</v>
      </c>
      <c r="E4" s="15">
        <f>(E3/D3)-1</f>
        <v>0.61701880273735954</v>
      </c>
      <c r="F4" s="15">
        <f t="shared" ref="F4:R4" si="0">(F3/E3)-1</f>
        <v>0.43397088884551782</v>
      </c>
      <c r="G4" s="15">
        <f t="shared" si="0"/>
        <v>0.3481126229866367</v>
      </c>
      <c r="H4" s="16">
        <f t="shared" si="0"/>
        <v>0.4578764699995661</v>
      </c>
      <c r="I4" s="16">
        <f t="shared" si="0"/>
        <v>0.30688087494365757</v>
      </c>
      <c r="J4" s="16">
        <f t="shared" si="0"/>
        <v>0.12054510407094265</v>
      </c>
      <c r="K4" s="16">
        <f t="shared" si="0"/>
        <v>-3.8658384722151884E-2</v>
      </c>
      <c r="L4" s="16">
        <f t="shared" si="0"/>
        <v>0.27206978863539866</v>
      </c>
      <c r="M4" s="16">
        <f t="shared" si="0"/>
        <v>0.48617876912671032</v>
      </c>
      <c r="N4" s="16">
        <f t="shared" si="0"/>
        <v>0.25190867571571052</v>
      </c>
      <c r="O4" s="16">
        <f t="shared" si="0"/>
        <v>0.11540565177757522</v>
      </c>
      <c r="P4" s="16">
        <f t="shared" si="0"/>
        <v>8.237986270022879E-2</v>
      </c>
      <c r="Q4" s="16">
        <f t="shared" si="0"/>
        <v>8.1244337058290483E-2</v>
      </c>
      <c r="R4" s="16">
        <f t="shared" si="0"/>
        <v>6.340782122905031E-2</v>
      </c>
      <c r="S4" s="17">
        <f>(M4+L4+K4)/3</f>
        <v>0.23986339101331902</v>
      </c>
      <c r="T4" s="17">
        <f>(M20+L20+K20)/3</f>
        <v>0.25089335709787719</v>
      </c>
      <c r="U4" s="17">
        <f>(M29+L29+K29)/3</f>
        <v>0.22383153679403309</v>
      </c>
      <c r="V4" s="17">
        <f>(M105+L105+K105)/3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S6" s="18" t="s">
        <v>113</v>
      </c>
      <c r="T6" s="19" t="s">
        <v>114</v>
      </c>
      <c r="U6" s="19" t="s">
        <v>115</v>
      </c>
      <c r="V6" s="19" t="s">
        <v>116</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S7" s="17">
        <f>M7</f>
        <v>0.61070000000000002</v>
      </c>
      <c r="T7" s="20">
        <f>M21</f>
        <v>0.37830000000000003</v>
      </c>
      <c r="U7" s="20">
        <f>M30</f>
        <v>0.30869999999999997</v>
      </c>
      <c r="V7" s="20">
        <f>M106/M3</f>
        <v>0.10229109558556687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row>
    <row r="9" spans="1:42" ht="19" customHeight="1" x14ac:dyDescent="0.25">
      <c r="A9" s="14" t="s">
        <v>95</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96</v>
      </c>
      <c r="T9" s="19" t="s">
        <v>97</v>
      </c>
      <c r="U9" s="19" t="s">
        <v>98</v>
      </c>
      <c r="V9" s="19" t="s">
        <v>99</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17">
        <f>M9</f>
        <v>0.16625027674371365</v>
      </c>
      <c r="T10" s="20">
        <f>M13</f>
        <v>9.5906475460535781E-2</v>
      </c>
      <c r="U10" s="20">
        <f>M80</f>
        <v>5.2708893002321226E-2</v>
      </c>
      <c r="V10" s="20">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117</v>
      </c>
      <c r="T12" s="19" t="s">
        <v>118</v>
      </c>
      <c r="U12" s="19" t="s">
        <v>119</v>
      </c>
      <c r="V12" s="19" t="s">
        <v>120</v>
      </c>
    </row>
    <row r="13" spans="1:42" ht="19" x14ac:dyDescent="0.25">
      <c r="A13" s="14" t="s">
        <v>100</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17">
        <f>M28/M72</f>
        <v>0.27681044328280618</v>
      </c>
      <c r="T13" s="20">
        <f>M28/M54</f>
        <v>0.19961094605344917</v>
      </c>
      <c r="U13" s="20">
        <f>M22/(M72+M56+M61)</f>
        <v>0.30977138146417776</v>
      </c>
      <c r="V13" s="21">
        <f>M67/M72</f>
        <v>0.38674981886356846</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121</v>
      </c>
      <c r="T15" s="19" t="s">
        <v>122</v>
      </c>
      <c r="U15" s="19" t="s">
        <v>123</v>
      </c>
      <c r="V15" s="19" t="s">
        <v>124</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31">
        <f>(M35+L35+K35+J35+I35)/5</f>
        <v>4.3644380616636029E-4</v>
      </c>
      <c r="T16" s="32">
        <f>U101/M3</f>
        <v>10.90035856855598</v>
      </c>
      <c r="U16" s="32">
        <f>U101/M28</f>
        <v>35.312204701703429</v>
      </c>
      <c r="V16" s="33">
        <f>U101/M106</f>
        <v>106.56214508366264</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0</v>
      </c>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125</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S19" s="34">
        <f>M40-M56-M61</f>
        <v>2979765000</v>
      </c>
    </row>
    <row r="20" spans="1:47" ht="19" customHeight="1" x14ac:dyDescent="0.25">
      <c r="A20" s="14" t="s">
        <v>101</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 si="5">(M19/L19)-1</f>
        <v>0.67666537168109353</v>
      </c>
      <c r="N20" s="15"/>
      <c r="O20" s="15"/>
      <c r="P20" s="15"/>
      <c r="Q20" s="15"/>
      <c r="R20" s="15"/>
      <c r="S20" s="15"/>
      <c r="T20" s="15"/>
      <c r="U20" s="15"/>
      <c r="V20" s="15"/>
      <c r="AH20" s="15"/>
      <c r="AI20" s="15"/>
      <c r="AJ20" s="15"/>
      <c r="AK20" s="15"/>
      <c r="AL20" s="15"/>
      <c r="AT20" s="15"/>
      <c r="AU20" s="15"/>
    </row>
    <row r="21" spans="1:47" ht="19"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row>
    <row r="29" spans="1:47" ht="20" customHeight="1" thickTop="1" x14ac:dyDescent="0.25">
      <c r="A29" s="14" t="s">
        <v>102</v>
      </c>
      <c r="B29" s="1"/>
      <c r="C29" s="15">
        <f>(C28/B28)-1</f>
        <v>-0.37273395034523282</v>
      </c>
      <c r="D29" s="15">
        <f>(D28/C28)-1</f>
        <v>0.9888519368588693</v>
      </c>
      <c r="E29" s="15">
        <f>(E28/D28)-1</f>
        <v>1.0454545454545454</v>
      </c>
      <c r="F29" s="15">
        <f t="shared" ref="F29:K29" si="6">(F28/E28)-1</f>
        <v>0.39438111686816346</v>
      </c>
      <c r="G29" s="15">
        <f t="shared" si="6"/>
        <v>0.52094102492114081</v>
      </c>
      <c r="H29" s="15">
        <f t="shared" si="6"/>
        <v>1.2976453534141563</v>
      </c>
      <c r="I29" s="15">
        <f t="shared" si="6"/>
        <v>-0.22468283392525068</v>
      </c>
      <c r="J29" s="15">
        <f t="shared" si="6"/>
        <v>1.6206269143440561</v>
      </c>
      <c r="K29" s="15">
        <f t="shared" si="6"/>
        <v>-0.26202889516634553</v>
      </c>
      <c r="L29" s="15">
        <f t="shared" ref="L29" si="7">(L28/K28)-1</f>
        <v>0.32510397017131631</v>
      </c>
      <c r="M29" s="15">
        <f t="shared" ref="M29" si="8">(M28/L28)-1</f>
        <v>0.60841953537712845</v>
      </c>
      <c r="N29" s="15"/>
      <c r="O29" s="15"/>
      <c r="P29" s="15"/>
      <c r="Q29" s="15"/>
      <c r="R29" s="15"/>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103</v>
      </c>
      <c r="B35" s="1"/>
      <c r="C35" s="22">
        <f>(C34-B34)/B34</f>
        <v>0.49633801524440951</v>
      </c>
      <c r="D35" s="22">
        <f t="shared" ref="D35:K35" si="9">(D34-C34)/C34</f>
        <v>-0.33170180145649675</v>
      </c>
      <c r="E35" s="22">
        <f t="shared" si="9"/>
        <v>9.9666446443738895E-3</v>
      </c>
      <c r="F35" s="22">
        <f t="shared" si="9"/>
        <v>0.30813335775783113</v>
      </c>
      <c r="G35" s="22">
        <f t="shared" si="9"/>
        <v>2.5360238618700199E-2</v>
      </c>
      <c r="H35" s="22">
        <f t="shared" si="9"/>
        <v>7.8596596651279674E-2</v>
      </c>
      <c r="I35" s="22">
        <f t="shared" si="9"/>
        <v>2.3639793864036366E-2</v>
      </c>
      <c r="J35" s="22">
        <f t="shared" si="9"/>
        <v>4.3293256147642375E-4</v>
      </c>
      <c r="K35" s="22">
        <f t="shared" si="9"/>
        <v>-1.7482906564126658E-2</v>
      </c>
      <c r="L35" s="22">
        <f t="shared" ref="L35" si="10">(L34-K34)/K34</f>
        <v>0</v>
      </c>
      <c r="M35" s="22">
        <f t="shared" ref="M35" si="11">(M34-L34)/L34</f>
        <v>-4.4076008305543321E-3</v>
      </c>
      <c r="N35" s="22"/>
      <c r="O35" s="22"/>
      <c r="P35" s="22"/>
      <c r="Q35" s="22"/>
      <c r="R35" s="22"/>
      <c r="S35" s="22"/>
      <c r="T35" s="22"/>
      <c r="U35" s="22"/>
      <c r="V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92</v>
      </c>
      <c r="C39" s="1" t="s">
        <v>92</v>
      </c>
      <c r="D39" s="1" t="s">
        <v>92</v>
      </c>
      <c r="E39" s="1">
        <v>209426000</v>
      </c>
      <c r="F39" s="1" t="s">
        <v>92</v>
      </c>
      <c r="G39" s="1">
        <v>299910000</v>
      </c>
      <c r="H39" s="1">
        <v>676363000</v>
      </c>
      <c r="I39" s="1">
        <v>1306197000</v>
      </c>
      <c r="J39" s="1">
        <v>1613082000</v>
      </c>
      <c r="K39" s="1">
        <v>1979649000</v>
      </c>
      <c r="L39" s="1">
        <v>2787502000</v>
      </c>
      <c r="M39" s="1">
        <v>2352022000</v>
      </c>
    </row>
    <row r="40" spans="1:38" ht="19" x14ac:dyDescent="0.25">
      <c r="A40" s="5" t="s">
        <v>32</v>
      </c>
      <c r="B40" s="1" t="s">
        <v>92</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92</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92</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92</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92</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92</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92</v>
      </c>
      <c r="C46" s="1" t="s">
        <v>92</v>
      </c>
      <c r="D46" s="1" t="s">
        <v>92</v>
      </c>
      <c r="E46" s="1" t="s">
        <v>92</v>
      </c>
      <c r="F46" s="1" t="s">
        <v>92</v>
      </c>
      <c r="G46" s="1" t="s">
        <v>92</v>
      </c>
      <c r="H46" s="1" t="s">
        <v>92</v>
      </c>
      <c r="I46" s="1">
        <v>53684000</v>
      </c>
      <c r="J46" s="1">
        <v>54855000</v>
      </c>
      <c r="K46" s="1">
        <v>189696000</v>
      </c>
      <c r="L46" s="1">
        <v>188397000</v>
      </c>
      <c r="M46" s="1">
        <v>265924000</v>
      </c>
    </row>
    <row r="47" spans="1:38" ht="19" x14ac:dyDescent="0.25">
      <c r="A47" s="5" t="s">
        <v>39</v>
      </c>
      <c r="B47" s="1" t="s">
        <v>92</v>
      </c>
      <c r="C47" s="1" t="s">
        <v>92</v>
      </c>
      <c r="D47" s="1" t="s">
        <v>92</v>
      </c>
      <c r="E47" s="1" t="s">
        <v>92</v>
      </c>
      <c r="F47" s="1" t="s">
        <v>92</v>
      </c>
      <c r="G47" s="1" t="s">
        <v>92</v>
      </c>
      <c r="H47" s="1" t="s">
        <v>92</v>
      </c>
      <c r="I47" s="1">
        <v>58610000</v>
      </c>
      <c r="J47" s="1">
        <v>45235000</v>
      </c>
      <c r="K47" s="1">
        <v>122790000</v>
      </c>
      <c r="L47" s="1">
        <v>93555000</v>
      </c>
      <c r="M47" s="1">
        <v>122205000</v>
      </c>
    </row>
    <row r="48" spans="1:38" ht="19" x14ac:dyDescent="0.25">
      <c r="A48" s="5" t="s">
        <v>40</v>
      </c>
      <c r="B48" s="1" t="s">
        <v>92</v>
      </c>
      <c r="C48" s="1" t="s">
        <v>92</v>
      </c>
      <c r="D48" s="1" t="s">
        <v>92</v>
      </c>
      <c r="E48" s="1" t="s">
        <v>92</v>
      </c>
      <c r="F48" s="1" t="s">
        <v>92</v>
      </c>
      <c r="G48" s="1" t="s">
        <v>92</v>
      </c>
      <c r="H48" s="1" t="s">
        <v>92</v>
      </c>
      <c r="I48" s="1">
        <v>112294000</v>
      </c>
      <c r="J48" s="1">
        <v>100090000</v>
      </c>
      <c r="K48" s="1">
        <v>312486000</v>
      </c>
      <c r="L48" s="1">
        <v>281952000</v>
      </c>
      <c r="M48" s="1">
        <v>388129000</v>
      </c>
    </row>
    <row r="49" spans="1:13" ht="19" x14ac:dyDescent="0.25">
      <c r="A49" s="5" t="s">
        <v>41</v>
      </c>
      <c r="B49" s="1" t="s">
        <v>92</v>
      </c>
      <c r="C49" s="1" t="s">
        <v>92</v>
      </c>
      <c r="D49" s="1" t="s">
        <v>92</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92</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92</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92</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92</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92</v>
      </c>
      <c r="C56" s="1" t="s">
        <v>92</v>
      </c>
      <c r="D56" s="1">
        <v>98793000</v>
      </c>
      <c r="E56" s="1">
        <v>1087000</v>
      </c>
      <c r="F56" s="1">
        <v>1336000</v>
      </c>
      <c r="G56" s="1" t="s">
        <v>92</v>
      </c>
      <c r="H56" s="1" t="s">
        <v>92</v>
      </c>
      <c r="I56" s="1" t="s">
        <v>92</v>
      </c>
      <c r="J56" s="1" t="s">
        <v>92</v>
      </c>
      <c r="K56" s="1" t="s">
        <v>92</v>
      </c>
      <c r="L56" s="1" t="s">
        <v>92</v>
      </c>
      <c r="M56" s="1">
        <v>0</v>
      </c>
    </row>
    <row r="57" spans="1:13" ht="19" x14ac:dyDescent="0.25">
      <c r="A57" s="5" t="s">
        <v>49</v>
      </c>
      <c r="B57" s="1" t="s">
        <v>92</v>
      </c>
      <c r="C57" s="1" t="s">
        <v>92</v>
      </c>
      <c r="D57" s="1" t="s">
        <v>92</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92</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92</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92</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92</v>
      </c>
      <c r="C61" s="1">
        <v>97673000</v>
      </c>
      <c r="D61" s="1" t="s">
        <v>92</v>
      </c>
      <c r="E61" s="1" t="s">
        <v>92</v>
      </c>
      <c r="F61" s="1" t="s">
        <v>92</v>
      </c>
      <c r="G61" s="1" t="s">
        <v>92</v>
      </c>
      <c r="H61" s="1" t="s">
        <v>92</v>
      </c>
      <c r="I61" s="1" t="s">
        <v>92</v>
      </c>
      <c r="J61" s="1">
        <v>83022000</v>
      </c>
      <c r="K61" s="1">
        <v>72397000</v>
      </c>
      <c r="L61" s="1">
        <v>56527000</v>
      </c>
      <c r="M61" s="1">
        <v>43964000</v>
      </c>
    </row>
    <row r="62" spans="1:13" ht="19" x14ac:dyDescent="0.25">
      <c r="A62" s="5" t="s">
        <v>50</v>
      </c>
      <c r="B62" s="1" t="s">
        <v>92</v>
      </c>
      <c r="C62" s="1" t="s">
        <v>92</v>
      </c>
      <c r="D62" s="1" t="s">
        <v>92</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92</v>
      </c>
      <c r="C63" s="1" t="s">
        <v>92</v>
      </c>
      <c r="D63" s="1" t="s">
        <v>92</v>
      </c>
      <c r="E63" s="1" t="s">
        <v>92</v>
      </c>
      <c r="F63" s="1" t="s">
        <v>92</v>
      </c>
      <c r="G63" s="1" t="s">
        <v>92</v>
      </c>
      <c r="H63" s="1" t="s">
        <v>92</v>
      </c>
      <c r="I63" s="1" t="s">
        <v>92</v>
      </c>
      <c r="J63" s="1">
        <v>254710000</v>
      </c>
      <c r="K63" s="1">
        <v>227936000</v>
      </c>
      <c r="L63" s="1">
        <v>129074000</v>
      </c>
      <c r="M63" s="1">
        <v>42000</v>
      </c>
    </row>
    <row r="64" spans="1:13" ht="19" x14ac:dyDescent="0.25">
      <c r="A64" s="5" t="s">
        <v>55</v>
      </c>
      <c r="B64" s="1" t="s">
        <v>92</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92</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92</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92</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92</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92</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92</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92</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104</v>
      </c>
      <c r="B80" s="15">
        <f t="shared" ref="B80:M80" si="12">B79/B3</f>
        <v>1.4115325210228248E-2</v>
      </c>
      <c r="C80" s="15">
        <f t="shared" si="12"/>
        <v>2.4316470880211782E-2</v>
      </c>
      <c r="D80" s="15">
        <f t="shared" si="12"/>
        <v>2.8123823444732354E-2</v>
      </c>
      <c r="E80" s="15">
        <f t="shared" si="12"/>
        <v>4.7284225808329312E-2</v>
      </c>
      <c r="F80" s="15">
        <f t="shared" si="12"/>
        <v>5.408725738457075E-2</v>
      </c>
      <c r="G80" s="15">
        <f t="shared" si="12"/>
        <v>5.2279246559632009E-2</v>
      </c>
      <c r="H80" s="15">
        <f t="shared" si="12"/>
        <v>4.581924521287388E-2</v>
      </c>
      <c r="I80" s="15">
        <f t="shared" si="12"/>
        <v>4.239254167927492E-2</v>
      </c>
      <c r="J80" s="15">
        <f t="shared" si="12"/>
        <v>4.201258884326832E-2</v>
      </c>
      <c r="K80" s="15">
        <f t="shared" si="12"/>
        <v>5.9133242891514691E-2</v>
      </c>
      <c r="L80" s="15">
        <f t="shared" si="12"/>
        <v>6.338963859680187E-2</v>
      </c>
      <c r="M80" s="15">
        <f t="shared" si="12"/>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21"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c r="T83" s="61" t="s">
        <v>126</v>
      </c>
      <c r="U83" s="62"/>
    </row>
    <row r="84" spans="1:46" ht="19"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T84" s="63" t="s">
        <v>127</v>
      </c>
      <c r="U84" s="64"/>
    </row>
    <row r="85" spans="1:46" ht="20"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92</v>
      </c>
      <c r="T85" s="23" t="s">
        <v>128</v>
      </c>
      <c r="U85" s="24">
        <f>M17</f>
        <v>0</v>
      </c>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92</v>
      </c>
      <c r="T86" s="23" t="s">
        <v>129</v>
      </c>
      <c r="U86" s="24">
        <f>M56</f>
        <v>0</v>
      </c>
    </row>
    <row r="87" spans="1:46" ht="20"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T87" s="23" t="s">
        <v>130</v>
      </c>
      <c r="U87" s="24">
        <f>M61</f>
        <v>43964000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T88" s="35" t="s">
        <v>131</v>
      </c>
      <c r="U88" s="36">
        <f>U85/(U86+U87)</f>
        <v>0</v>
      </c>
    </row>
    <row r="89" spans="1:46" ht="20" customHeight="1" x14ac:dyDescent="0.25">
      <c r="A89" s="14" t="s">
        <v>105</v>
      </c>
      <c r="B89" s="15">
        <f t="shared" ref="B89:M89" si="13">(-1*B88)/B3</f>
        <v>1.9807219266632342E-2</v>
      </c>
      <c r="C89" s="15">
        <f t="shared" si="13"/>
        <v>1.7124420913302449E-2</v>
      </c>
      <c r="D89" s="15">
        <f t="shared" si="13"/>
        <v>5.6242110158793435E-2</v>
      </c>
      <c r="E89" s="15">
        <f t="shared" si="13"/>
        <v>2.2485644728867705E-2</v>
      </c>
      <c r="F89" s="15">
        <f t="shared" si="13"/>
        <v>2.3864869608197795E-2</v>
      </c>
      <c r="G89" s="15">
        <f t="shared" si="13"/>
        <v>1.8968850488900225E-2</v>
      </c>
      <c r="H89" s="15">
        <f t="shared" si="13"/>
        <v>9.2814542220623908E-3</v>
      </c>
      <c r="I89" s="15">
        <f t="shared" si="13"/>
        <v>1.1076667926329701E-2</v>
      </c>
      <c r="J89" s="15">
        <f t="shared" si="13"/>
        <v>6.5337706049597086E-3</v>
      </c>
      <c r="K89" s="15">
        <f t="shared" si="13"/>
        <v>6.6381533299503951E-3</v>
      </c>
      <c r="L89" s="15">
        <f t="shared" si="13"/>
        <v>2.1959018831853194E-2</v>
      </c>
      <c r="M89" s="15">
        <f t="shared" si="13"/>
        <v>1.0189646475597482E-2</v>
      </c>
      <c r="T89" s="23" t="s">
        <v>106</v>
      </c>
      <c r="U89" s="24">
        <f>M27</f>
        <v>229350000</v>
      </c>
      <c r="V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t="s">
        <v>92</v>
      </c>
      <c r="H90" s="1" t="s">
        <v>92</v>
      </c>
      <c r="I90" s="1">
        <v>-96821000</v>
      </c>
      <c r="J90" s="1">
        <v>26855000</v>
      </c>
      <c r="K90" s="1">
        <v>-224021000</v>
      </c>
      <c r="L90" s="1">
        <v>-18634000</v>
      </c>
      <c r="M90" s="1">
        <v>-145087000</v>
      </c>
      <c r="T90" s="23" t="s">
        <v>19</v>
      </c>
      <c r="U90" s="24">
        <f>M25</f>
        <v>1581796000</v>
      </c>
    </row>
    <row r="91" spans="1:46" ht="20" x14ac:dyDescent="0.25">
      <c r="A91" s="5" t="s">
        <v>76</v>
      </c>
      <c r="B91" s="1" t="s">
        <v>92</v>
      </c>
      <c r="C91" s="1" t="s">
        <v>92</v>
      </c>
      <c r="D91" s="1" t="s">
        <v>92</v>
      </c>
      <c r="E91" s="1">
        <v>-210019000</v>
      </c>
      <c r="F91" s="1" t="s">
        <v>92</v>
      </c>
      <c r="G91" s="1">
        <v>-439711000</v>
      </c>
      <c r="H91" s="1">
        <v>-585373000</v>
      </c>
      <c r="I91" s="1">
        <v>-1182259000</v>
      </c>
      <c r="J91" s="1">
        <v>-1503893000</v>
      </c>
      <c r="K91" s="1">
        <v>-2688064000</v>
      </c>
      <c r="L91" s="1">
        <v>-2317264000</v>
      </c>
      <c r="M91" s="1">
        <v>-1418857000</v>
      </c>
      <c r="T91" s="35" t="s">
        <v>132</v>
      </c>
      <c r="U91" s="36">
        <f>U89/U90</f>
        <v>0.14499341255130244</v>
      </c>
    </row>
    <row r="92" spans="1:46" ht="20" x14ac:dyDescent="0.25">
      <c r="A92" s="5" t="s">
        <v>77</v>
      </c>
      <c r="B92" s="1" t="s">
        <v>92</v>
      </c>
      <c r="C92" s="1" t="s">
        <v>92</v>
      </c>
      <c r="D92" s="1" t="s">
        <v>92</v>
      </c>
      <c r="E92" s="1" t="s">
        <v>92</v>
      </c>
      <c r="F92" s="1">
        <v>208200000</v>
      </c>
      <c r="G92" s="1">
        <v>137855000</v>
      </c>
      <c r="H92" s="1">
        <v>206332000</v>
      </c>
      <c r="I92" s="1">
        <v>547797000</v>
      </c>
      <c r="J92" s="1">
        <v>1208717000</v>
      </c>
      <c r="K92" s="1">
        <v>2318667000</v>
      </c>
      <c r="L92" s="1">
        <v>1475072000</v>
      </c>
      <c r="M92" s="1">
        <v>1837606000</v>
      </c>
      <c r="T92" s="37" t="s">
        <v>133</v>
      </c>
      <c r="U92" s="38">
        <f>U88*(1-U91)</f>
        <v>0</v>
      </c>
    </row>
    <row r="93" spans="1:46" ht="19" x14ac:dyDescent="0.25">
      <c r="A93" s="5" t="s">
        <v>78</v>
      </c>
      <c r="B93" s="1" t="s">
        <v>92</v>
      </c>
      <c r="C93" s="1">
        <v>-9040000</v>
      </c>
      <c r="D93" s="1">
        <v>825000</v>
      </c>
      <c r="E93" s="1">
        <v>-26209000</v>
      </c>
      <c r="F93" s="1">
        <v>-4041000</v>
      </c>
      <c r="G93" s="1">
        <v>-2704000</v>
      </c>
      <c r="H93" s="1">
        <v>1740000</v>
      </c>
      <c r="I93" s="1" t="s">
        <v>92</v>
      </c>
      <c r="J93" s="1" t="s">
        <v>92</v>
      </c>
      <c r="K93" s="1" t="s">
        <v>92</v>
      </c>
      <c r="L93" s="1" t="s">
        <v>92</v>
      </c>
      <c r="M93" s="1">
        <v>-12691000</v>
      </c>
      <c r="T93" s="63" t="s">
        <v>134</v>
      </c>
      <c r="U93" s="64"/>
    </row>
    <row r="94" spans="1:46" ht="20"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T94" s="23" t="s">
        <v>135</v>
      </c>
      <c r="U94" s="39">
        <v>4.095E-2</v>
      </c>
    </row>
    <row r="95" spans="1:46" ht="20" x14ac:dyDescent="0.25">
      <c r="A95" s="5" t="s">
        <v>80</v>
      </c>
      <c r="B95" s="1">
        <v>-55555000</v>
      </c>
      <c r="C95" s="1" t="s">
        <v>92</v>
      </c>
      <c r="D95" s="1" t="s">
        <v>92</v>
      </c>
      <c r="E95" s="1">
        <v>-20793000</v>
      </c>
      <c r="F95" s="1">
        <v>-1086000</v>
      </c>
      <c r="G95" s="1">
        <v>-1336000</v>
      </c>
      <c r="H95" s="1">
        <v>-1617000</v>
      </c>
      <c r="I95" s="1">
        <v>-1929000</v>
      </c>
      <c r="J95" s="1" t="s">
        <v>92</v>
      </c>
      <c r="K95" s="1" t="s">
        <v>92</v>
      </c>
      <c r="L95" s="1" t="s">
        <v>92</v>
      </c>
      <c r="M95" s="1" t="s">
        <v>92</v>
      </c>
      <c r="T95" s="23" t="s">
        <v>136</v>
      </c>
      <c r="U95" s="40" cm="1">
        <f t="array" ref="U95">_FV(A1,"Beta")</f>
        <v>1.2650999999999999</v>
      </c>
    </row>
    <row r="96" spans="1:46" ht="20" x14ac:dyDescent="0.25">
      <c r="A96" s="5" t="s">
        <v>81</v>
      </c>
      <c r="B96" s="1">
        <v>4203000</v>
      </c>
      <c r="C96" s="1" t="s">
        <v>92</v>
      </c>
      <c r="D96" s="1" t="s">
        <v>92</v>
      </c>
      <c r="E96" s="1">
        <v>239315000</v>
      </c>
      <c r="F96" s="1" t="s">
        <v>92</v>
      </c>
      <c r="G96" s="1" t="s">
        <v>92</v>
      </c>
      <c r="H96" s="1" t="s">
        <v>92</v>
      </c>
      <c r="I96" s="1" t="s">
        <v>92</v>
      </c>
      <c r="J96" s="1" t="s">
        <v>92</v>
      </c>
      <c r="K96" s="1" t="s">
        <v>92</v>
      </c>
      <c r="L96" s="1">
        <v>67245000</v>
      </c>
      <c r="M96" s="1">
        <v>48411000</v>
      </c>
      <c r="T96" s="23" t="s">
        <v>137</v>
      </c>
      <c r="U96" s="39">
        <v>8.4000000000000005E-2</v>
      </c>
    </row>
    <row r="97" spans="1:46" ht="20" x14ac:dyDescent="0.25">
      <c r="A97" s="5" t="s">
        <v>82</v>
      </c>
      <c r="B97" s="1" t="s">
        <v>92</v>
      </c>
      <c r="C97" s="1" t="s">
        <v>92</v>
      </c>
      <c r="D97" s="1" t="s">
        <v>92</v>
      </c>
      <c r="E97" s="1" t="s">
        <v>92</v>
      </c>
      <c r="F97" s="1">
        <v>-261000</v>
      </c>
      <c r="G97" s="1" t="s">
        <v>92</v>
      </c>
      <c r="H97" s="1" t="s">
        <v>92</v>
      </c>
      <c r="I97" s="1" t="s">
        <v>92</v>
      </c>
      <c r="J97" s="1">
        <v>-266142000</v>
      </c>
      <c r="K97" s="1">
        <v>-395173000</v>
      </c>
      <c r="L97" s="1">
        <v>-411645000</v>
      </c>
      <c r="M97" s="1">
        <v>-670287000</v>
      </c>
      <c r="T97" s="37" t="s">
        <v>138</v>
      </c>
      <c r="U97" s="38">
        <f>(U94)+((U95)*(U96-U94))</f>
        <v>9.541255500000001E-2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3" t="s">
        <v>139</v>
      </c>
      <c r="U98" s="64"/>
    </row>
    <row r="99" spans="1:46" ht="20"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T99" s="23" t="s">
        <v>140</v>
      </c>
      <c r="U99" s="24">
        <f>U86+U87</f>
        <v>43964000</v>
      </c>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T100" s="35" t="s">
        <v>141</v>
      </c>
      <c r="U100" s="36">
        <f>U99/U103</f>
        <v>9.1971405101906806E-4</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T101" s="23" t="s">
        <v>142</v>
      </c>
      <c r="U101" s="41" cm="1">
        <f t="array" ref="U101">_FV(A1,"Market cap",TRUE)</f>
        <v>47757850000</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T102" s="35" t="s">
        <v>143</v>
      </c>
      <c r="U102" s="36">
        <f>U101/U103</f>
        <v>0.99908028594898091</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T103" s="37" t="s">
        <v>144</v>
      </c>
      <c r="U103" s="42">
        <f>U99+U101</f>
        <v>47801814000</v>
      </c>
    </row>
    <row r="104" spans="1:46" ht="20"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T104" s="63" t="s">
        <v>145</v>
      </c>
      <c r="U104" s="64"/>
    </row>
    <row r="105" spans="1:46" ht="21" thickTop="1" x14ac:dyDescent="0.25">
      <c r="A105" s="14" t="s">
        <v>107</v>
      </c>
      <c r="B105" s="1"/>
      <c r="C105" s="15">
        <f>(C106/B106)-1</f>
        <v>1.3803312629399587</v>
      </c>
      <c r="D105" s="15">
        <f>(D106/C106)-1</f>
        <v>-0.37670696703487871</v>
      </c>
      <c r="E105" s="15">
        <f>(E106/D106)-1</f>
        <v>6.0738208205414459</v>
      </c>
      <c r="F105" s="15">
        <f>(F106/E106)-1</f>
        <v>0.78082894399400282</v>
      </c>
      <c r="G105" s="15">
        <f>(G106/F106)-1</f>
        <v>-0.39061392236795467</v>
      </c>
      <c r="H105" s="15">
        <f t="shared" ref="H105:K105" si="14">(H106/G106)-1</f>
        <v>4.6020941456631004</v>
      </c>
      <c r="I105" s="15">
        <f t="shared" si="14"/>
        <v>-0.22237275045915617</v>
      </c>
      <c r="J105" s="15">
        <f t="shared" si="14"/>
        <v>0.97643384262939481</v>
      </c>
      <c r="K105" s="15">
        <f t="shared" si="14"/>
        <v>-0.24021649285377233</v>
      </c>
      <c r="L105" s="15">
        <f t="shared" ref="L105" si="15">(L106/K106)-1</f>
        <v>0.32149556083531317</v>
      </c>
      <c r="M105" s="15">
        <f t="shared" ref="M105" si="16">(M106/L106)-1</f>
        <v>-0.52879867945159398</v>
      </c>
      <c r="N105" s="15"/>
      <c r="O105" s="15"/>
      <c r="P105" s="15"/>
      <c r="Q105" s="15"/>
      <c r="R105" s="15"/>
      <c r="S105" s="15"/>
      <c r="T105" s="27" t="s">
        <v>108</v>
      </c>
      <c r="U105" s="28">
        <f>(U100*U92)+(U102*U97)</f>
        <v>9.5324802732522876E-2</v>
      </c>
      <c r="V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v>9660000</v>
      </c>
      <c r="C106" s="1">
        <v>22994000</v>
      </c>
      <c r="D106" s="1">
        <v>14332000</v>
      </c>
      <c r="E106" s="1">
        <v>101382000</v>
      </c>
      <c r="F106" s="1">
        <v>180544000</v>
      </c>
      <c r="G106" s="1">
        <v>110021000</v>
      </c>
      <c r="H106" s="1">
        <v>616348000</v>
      </c>
      <c r="I106" s="1">
        <v>479289000</v>
      </c>
      <c r="J106" s="1">
        <v>947283000</v>
      </c>
      <c r="K106" s="1">
        <v>719730000</v>
      </c>
      <c r="L106" s="1">
        <v>951120000</v>
      </c>
      <c r="M106" s="1">
        <v>448169000</v>
      </c>
      <c r="N106" s="43">
        <f>M106*(1+$U$106)</f>
        <v>501442521.73046327</v>
      </c>
      <c r="O106" s="43">
        <f t="shared" ref="O106:R106" si="17">N106*(1+$U$106)</f>
        <v>561048628.08316982</v>
      </c>
      <c r="P106" s="43">
        <f t="shared" si="17"/>
        <v>627740068.76745486</v>
      </c>
      <c r="Q106" s="43">
        <f t="shared" si="17"/>
        <v>702359072.30086648</v>
      </c>
      <c r="R106" s="43">
        <f t="shared" si="17"/>
        <v>785847982.2897507</v>
      </c>
      <c r="S106" s="44" t="s">
        <v>146</v>
      </c>
      <c r="T106" s="45" t="s">
        <v>147</v>
      </c>
      <c r="U106" s="46">
        <f>(SUM(N4:R4)/5)</f>
        <v>0.11886926969617106</v>
      </c>
    </row>
    <row r="107" spans="1:46" ht="19" x14ac:dyDescent="0.25">
      <c r="A107" s="5"/>
      <c r="B107" s="13"/>
      <c r="C107" s="13"/>
      <c r="D107" s="13"/>
      <c r="E107" s="13"/>
      <c r="F107" s="13"/>
      <c r="G107" s="13"/>
      <c r="H107" s="13"/>
      <c r="I107" s="13"/>
      <c r="J107" s="13"/>
      <c r="K107" s="13"/>
      <c r="L107" s="13"/>
      <c r="M107" s="13"/>
      <c r="N107" s="44"/>
      <c r="O107" s="44"/>
      <c r="P107" s="44"/>
      <c r="Q107" s="44"/>
      <c r="R107" s="47">
        <f>R106*(1+U107)/(U108-U107)</f>
        <v>11453913136.602093</v>
      </c>
      <c r="S107" s="48" t="s">
        <v>148</v>
      </c>
      <c r="T107" s="49" t="s">
        <v>149</v>
      </c>
      <c r="U107" s="50">
        <v>2.5000000000000001E-2</v>
      </c>
    </row>
    <row r="108" spans="1:46" ht="19" x14ac:dyDescent="0.25">
      <c r="N108" s="47">
        <f t="shared" ref="N108:P108" si="18">N107+N106</f>
        <v>501442521.73046327</v>
      </c>
      <c r="O108" s="47">
        <f t="shared" si="18"/>
        <v>561048628.08316982</v>
      </c>
      <c r="P108" s="47">
        <f t="shared" si="18"/>
        <v>627740068.76745486</v>
      </c>
      <c r="Q108" s="47">
        <f>Q107+Q106</f>
        <v>702359072.30086648</v>
      </c>
      <c r="R108" s="47">
        <f>R107+R106</f>
        <v>12239761118.891844</v>
      </c>
      <c r="S108" s="48" t="s">
        <v>144</v>
      </c>
      <c r="T108" s="51" t="s">
        <v>150</v>
      </c>
      <c r="U108" s="52">
        <f>U105</f>
        <v>9.5324802732522876E-2</v>
      </c>
    </row>
    <row r="109" spans="1:46" ht="19" x14ac:dyDescent="0.25">
      <c r="N109" s="65" t="s">
        <v>151</v>
      </c>
      <c r="O109" s="66"/>
    </row>
    <row r="110" spans="1:46" ht="20" x14ac:dyDescent="0.25">
      <c r="N110" s="53" t="s">
        <v>152</v>
      </c>
      <c r="O110" s="41">
        <f>NPV(U108,N108,O108,P108,Q108,R108)</f>
        <v>9654618783.7162971</v>
      </c>
    </row>
    <row r="111" spans="1:46" ht="20" x14ac:dyDescent="0.25">
      <c r="N111" s="53" t="s">
        <v>153</v>
      </c>
      <c r="O111" s="41">
        <f>M40</f>
        <v>3023729000</v>
      </c>
    </row>
    <row r="112" spans="1:46" ht="20" x14ac:dyDescent="0.25">
      <c r="N112" s="53" t="s">
        <v>140</v>
      </c>
      <c r="O112" s="41">
        <f>U99</f>
        <v>43964000</v>
      </c>
    </row>
    <row r="113" spans="14:15" ht="20" x14ac:dyDescent="0.25">
      <c r="N113" s="53" t="s">
        <v>154</v>
      </c>
      <c r="O113" s="41">
        <f>O110+O111-O112</f>
        <v>12634383783.716297</v>
      </c>
    </row>
    <row r="114" spans="14:15" ht="20" x14ac:dyDescent="0.25">
      <c r="N114" s="53" t="s">
        <v>159</v>
      </c>
      <c r="O114" s="54">
        <f>M34*(1+(S16*4))</f>
        <v>317011466.28182238</v>
      </c>
    </row>
    <row r="115" spans="14:15" ht="20" x14ac:dyDescent="0.25">
      <c r="N115" s="55" t="s">
        <v>155</v>
      </c>
      <c r="O115" s="56">
        <f>O113/O114</f>
        <v>39.854658671823444</v>
      </c>
    </row>
    <row r="116" spans="14:15" ht="20" x14ac:dyDescent="0.25">
      <c r="N116" s="53" t="s">
        <v>156</v>
      </c>
      <c r="O116" s="57" cm="1">
        <f t="array" ref="O116">_FV(A1,"Price")</f>
        <v>155.87</v>
      </c>
    </row>
    <row r="117" spans="14:15" ht="20" x14ac:dyDescent="0.25">
      <c r="N117" s="58" t="s">
        <v>157</v>
      </c>
      <c r="O117" s="59">
        <f>O115/O116-1</f>
        <v>-0.74430834238901999</v>
      </c>
    </row>
    <row r="118" spans="14:15" ht="20" x14ac:dyDescent="0.25">
      <c r="N118" s="58" t="s">
        <v>158</v>
      </c>
      <c r="O118" s="60"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ASDAQGS:ANET/explorer/revenue_proj" xr:uid="{E2AF0D85-98FD-E14D-B06B-326610703AE9}"/>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2023-03-13T22:03:17Z</dcterms:created>
  <dcterms:modified xsi:type="dcterms:W3CDTF">2023-04-23T07:43:51Z</dcterms:modified>
</cp:coreProperties>
</file>