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39D9615-7BD3-7844-813A-0D61D6E1D94C}" xr6:coauthVersionLast="47" xr6:coauthVersionMax="47" xr10:uidLastSave="{00000000-0000-0000-0000-000000000000}"/>
  <bookViews>
    <workbookView xWindow="0" yWindow="500" windowWidth="2722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116" i="1" l="1" a="1"/>
  <c r="AA116" i="1" s="1"/>
  <c r="AA106" i="1"/>
  <c r="AB106" i="1" s="1"/>
  <c r="AC106" i="1" s="1"/>
  <c r="AD106" i="1" s="1"/>
  <c r="Z106" i="1"/>
  <c r="AG101" i="1" a="1"/>
  <c r="AG101" i="1" s="1"/>
  <c r="AF16" i="1" s="1"/>
  <c r="AG95" i="1" a="1"/>
  <c r="AG95" i="1" s="1"/>
  <c r="AG97" i="1" s="1"/>
  <c r="AG92" i="1"/>
  <c r="AG85" i="1"/>
  <c r="AA111" i="1"/>
  <c r="AG90" i="1"/>
  <c r="AG91" i="1" s="1"/>
  <c r="AG89" i="1"/>
  <c r="AG87" i="1"/>
  <c r="AG86" i="1"/>
  <c r="AG99" i="1" s="1"/>
  <c r="AG88" i="1"/>
  <c r="AE19" i="1"/>
  <c r="AE16" i="1"/>
  <c r="AA114" i="1" s="1"/>
  <c r="AH13" i="1"/>
  <c r="AG13" i="1"/>
  <c r="AF13" i="1"/>
  <c r="AE13" i="1"/>
  <c r="AH10" i="1"/>
  <c r="AG10" i="1"/>
  <c r="AF10" i="1"/>
  <c r="AE10" i="1"/>
  <c r="AH7" i="1"/>
  <c r="AG7" i="1"/>
  <c r="AF7" i="1"/>
  <c r="AE7" i="1"/>
  <c r="AH4" i="1"/>
  <c r="AG4" i="1"/>
  <c r="AF4" i="1"/>
  <c r="AE4" i="1"/>
  <c r="AD4" i="1"/>
  <c r="AC4" i="1"/>
  <c r="AB4" i="1"/>
  <c r="AA4" i="1"/>
  <c r="Z4" i="1"/>
  <c r="Y9" i="1"/>
  <c r="Y13" i="1"/>
  <c r="Y20" i="1"/>
  <c r="Y29" i="1"/>
  <c r="Y35" i="1"/>
  <c r="Y80" i="1"/>
  <c r="Y89" i="1"/>
  <c r="Y105" i="1"/>
  <c r="X105" i="1"/>
  <c r="W105" i="1"/>
  <c r="V105" i="1"/>
  <c r="U105" i="1"/>
  <c r="T105" i="1"/>
  <c r="S105" i="1"/>
  <c r="R105" i="1"/>
  <c r="Q105" i="1"/>
  <c r="P105" i="1"/>
  <c r="O105" i="1"/>
  <c r="N105" i="1"/>
  <c r="M105" i="1"/>
  <c r="L105" i="1"/>
  <c r="K105" i="1"/>
  <c r="J105" i="1"/>
  <c r="I105" i="1"/>
  <c r="H105" i="1"/>
  <c r="G105" i="1"/>
  <c r="F105" i="1"/>
  <c r="E105" i="1"/>
  <c r="D105" i="1"/>
  <c r="C105" i="1"/>
  <c r="X89" i="1"/>
  <c r="W89" i="1"/>
  <c r="V89" i="1"/>
  <c r="U89" i="1"/>
  <c r="T89" i="1"/>
  <c r="S89" i="1"/>
  <c r="R89" i="1"/>
  <c r="Q89" i="1"/>
  <c r="P89" i="1"/>
  <c r="O89" i="1"/>
  <c r="N89" i="1"/>
  <c r="M89" i="1"/>
  <c r="L89" i="1"/>
  <c r="K89" i="1"/>
  <c r="J89" i="1"/>
  <c r="I89" i="1"/>
  <c r="H89" i="1"/>
  <c r="G89" i="1"/>
  <c r="F89" i="1"/>
  <c r="E89" i="1"/>
  <c r="D89" i="1"/>
  <c r="C89" i="1"/>
  <c r="B89" i="1"/>
  <c r="X80" i="1"/>
  <c r="W80" i="1"/>
  <c r="V80" i="1"/>
  <c r="U80" i="1"/>
  <c r="T80" i="1"/>
  <c r="S80" i="1"/>
  <c r="R80" i="1"/>
  <c r="Q80" i="1"/>
  <c r="P80" i="1"/>
  <c r="O80" i="1"/>
  <c r="N80" i="1"/>
  <c r="M80" i="1"/>
  <c r="L80" i="1"/>
  <c r="K80" i="1"/>
  <c r="J80" i="1"/>
  <c r="I80" i="1"/>
  <c r="H80" i="1"/>
  <c r="G80" i="1"/>
  <c r="F80" i="1"/>
  <c r="E80" i="1"/>
  <c r="D80" i="1"/>
  <c r="C80" i="1"/>
  <c r="B80" i="1"/>
  <c r="X35" i="1"/>
  <c r="W35" i="1"/>
  <c r="V35" i="1"/>
  <c r="U35" i="1"/>
  <c r="T35" i="1"/>
  <c r="S35" i="1"/>
  <c r="R35" i="1"/>
  <c r="Q35" i="1"/>
  <c r="P35" i="1"/>
  <c r="O35" i="1"/>
  <c r="N35" i="1"/>
  <c r="M35" i="1"/>
  <c r="L35" i="1"/>
  <c r="K35" i="1"/>
  <c r="J35" i="1"/>
  <c r="I35" i="1"/>
  <c r="H35" i="1"/>
  <c r="G35" i="1"/>
  <c r="F35" i="1"/>
  <c r="E35" i="1"/>
  <c r="D35" i="1"/>
  <c r="C35" i="1"/>
  <c r="X29" i="1"/>
  <c r="W29" i="1"/>
  <c r="V29" i="1"/>
  <c r="U29" i="1"/>
  <c r="T29" i="1"/>
  <c r="S29" i="1"/>
  <c r="R29" i="1"/>
  <c r="Q29" i="1"/>
  <c r="P29" i="1"/>
  <c r="O29" i="1"/>
  <c r="N29" i="1"/>
  <c r="M29" i="1"/>
  <c r="L29" i="1"/>
  <c r="K29" i="1"/>
  <c r="J29" i="1"/>
  <c r="I29" i="1"/>
  <c r="H29" i="1"/>
  <c r="G29" i="1"/>
  <c r="F29" i="1"/>
  <c r="E29" i="1"/>
  <c r="D29" i="1"/>
  <c r="C29" i="1"/>
  <c r="X20" i="1"/>
  <c r="W20" i="1"/>
  <c r="V20" i="1"/>
  <c r="U20" i="1"/>
  <c r="T20" i="1"/>
  <c r="S20" i="1"/>
  <c r="R20" i="1"/>
  <c r="Q20" i="1"/>
  <c r="P20" i="1"/>
  <c r="O20" i="1"/>
  <c r="N20" i="1"/>
  <c r="M20" i="1"/>
  <c r="L20" i="1"/>
  <c r="K20" i="1"/>
  <c r="J20" i="1"/>
  <c r="I20" i="1"/>
  <c r="H20" i="1"/>
  <c r="G20" i="1"/>
  <c r="F20" i="1"/>
  <c r="E20" i="1"/>
  <c r="D20" i="1"/>
  <c r="C20" i="1"/>
  <c r="X13" i="1"/>
  <c r="W13" i="1"/>
  <c r="V13" i="1"/>
  <c r="U13" i="1"/>
  <c r="T13" i="1"/>
  <c r="S13" i="1"/>
  <c r="R13" i="1"/>
  <c r="Q13" i="1"/>
  <c r="P13" i="1"/>
  <c r="O13" i="1"/>
  <c r="N13" i="1"/>
  <c r="M13" i="1"/>
  <c r="L13" i="1"/>
  <c r="K13" i="1"/>
  <c r="J13" i="1"/>
  <c r="I13" i="1"/>
  <c r="H13" i="1"/>
  <c r="G13" i="1"/>
  <c r="F13" i="1"/>
  <c r="E13" i="1"/>
  <c r="D13" i="1"/>
  <c r="C13" i="1"/>
  <c r="B13" i="1"/>
  <c r="X9" i="1"/>
  <c r="W9" i="1"/>
  <c r="V9" i="1"/>
  <c r="U9"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Z108" i="1" l="1"/>
  <c r="AG106" i="1"/>
  <c r="AH16" i="1"/>
  <c r="AG16" i="1"/>
  <c r="AA108" i="1"/>
  <c r="AG103" i="1"/>
  <c r="AG102" i="1" s="1"/>
  <c r="AA112" i="1"/>
  <c r="AG100" i="1" l="1"/>
  <c r="AG105" i="1" s="1"/>
  <c r="AG108" i="1" s="1"/>
  <c r="AB108" i="1"/>
  <c r="AD107" i="1" l="1"/>
  <c r="AD108" i="1" s="1"/>
  <c r="AC108" i="1"/>
  <c r="AA110" i="1" s="1"/>
  <c r="AA113" i="1" s="1"/>
  <c r="AA115" i="1" s="1"/>
  <c r="AA118" i="1" l="1"/>
  <c r="AA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<sst xmlns="http://schemas.openxmlformats.org/spreadsheetml/2006/main" count="845" uniqueCount="160">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</sst>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MPWR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8388113078310395E-2"/>
          <c:y val="0.1078497550353838"/>
          <c:w val="0.87140544335223413"/>
          <c:h val="0.7617850055079533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1'!$B$3:$Y$3</c:f>
              <c:numCache>
                <c:formatCode>#,###,,;\(#,###,,\);\ \-\ \-</c:formatCode>
                <c:ptCount val="24"/>
                <c:pt idx="0">
                  <c:v>600000</c:v>
                </c:pt>
                <c:pt idx="1">
                  <c:v>5252000</c:v>
                </c:pt>
                <c:pt idx="2">
                  <c:v>8130355</c:v>
                </c:pt>
                <c:pt idx="3">
                  <c:v>12205601</c:v>
                </c:pt>
                <c:pt idx="4">
                  <c:v>24204331</c:v>
                </c:pt>
                <c:pt idx="5">
                  <c:v>47595039</c:v>
                </c:pt>
                <c:pt idx="6">
                  <c:v>99131000</c:v>
                </c:pt>
                <c:pt idx="7">
                  <c:v>105015000</c:v>
                </c:pt>
                <c:pt idx="8">
                  <c:v>134004000</c:v>
                </c:pt>
                <c:pt idx="9">
                  <c:v>160511000</c:v>
                </c:pt>
                <c:pt idx="10">
                  <c:v>165008000</c:v>
                </c:pt>
                <c:pt idx="11">
                  <c:v>218840000</c:v>
                </c:pt>
                <c:pt idx="12">
                  <c:v>196519000</c:v>
                </c:pt>
                <c:pt idx="13">
                  <c:v>213813000</c:v>
                </c:pt>
                <c:pt idx="14">
                  <c:v>238091000</c:v>
                </c:pt>
                <c:pt idx="15">
                  <c:v>282535000</c:v>
                </c:pt>
                <c:pt idx="16">
                  <c:v>333067000</c:v>
                </c:pt>
                <c:pt idx="17">
                  <c:v>388665000</c:v>
                </c:pt>
                <c:pt idx="18">
                  <c:v>470929000</c:v>
                </c:pt>
                <c:pt idx="19">
                  <c:v>582382000</c:v>
                </c:pt>
                <c:pt idx="20">
                  <c:v>627921000</c:v>
                </c:pt>
                <c:pt idx="21">
                  <c:v>844452000</c:v>
                </c:pt>
                <c:pt idx="22">
                  <c:v>1207798000</c:v>
                </c:pt>
                <c:pt idx="23">
                  <c:v>1794148000</c:v>
                </c:pt>
              </c:numCache>
            </c:numRef>
          </c:val>
          <c:extLst>
            <c:ext xmlns:c16="http://schemas.microsoft.com/office/drawing/2014/chart" uri="{C3380CC4-5D6E-409C-BE32-E72D297353CC}">
              <c16:uniqueId val="{00000000-1F11-2243-A58D-715B4E00E42E}"/>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1'!$B$19:$Y$19</c:f>
              <c:numCache>
                <c:formatCode>#,###,,;\(#,###,,\);\ \-\ \-</c:formatCode>
                <c:ptCount val="24"/>
                <c:pt idx="0">
                  <c:v>-1300000</c:v>
                </c:pt>
                <c:pt idx="1">
                  <c:v>-1603000</c:v>
                </c:pt>
                <c:pt idx="2">
                  <c:v>-3272603</c:v>
                </c:pt>
                <c:pt idx="3">
                  <c:v>-2428423</c:v>
                </c:pt>
                <c:pt idx="4">
                  <c:v>1038161</c:v>
                </c:pt>
                <c:pt idx="5">
                  <c:v>8003411</c:v>
                </c:pt>
                <c:pt idx="6">
                  <c:v>15159000</c:v>
                </c:pt>
                <c:pt idx="7">
                  <c:v>17847000</c:v>
                </c:pt>
                <c:pt idx="8">
                  <c:v>18456000</c:v>
                </c:pt>
                <c:pt idx="9">
                  <c:v>31819000</c:v>
                </c:pt>
                <c:pt idx="10">
                  <c:v>27150000</c:v>
                </c:pt>
                <c:pt idx="11">
                  <c:v>39670000</c:v>
                </c:pt>
                <c:pt idx="12">
                  <c:v>22820000</c:v>
                </c:pt>
                <c:pt idx="13">
                  <c:v>27222000</c:v>
                </c:pt>
                <c:pt idx="14">
                  <c:v>36167000</c:v>
                </c:pt>
                <c:pt idx="15">
                  <c:v>49522000</c:v>
                </c:pt>
                <c:pt idx="16">
                  <c:v>56274000</c:v>
                </c:pt>
                <c:pt idx="17">
                  <c:v>71938000</c:v>
                </c:pt>
                <c:pt idx="18">
                  <c:v>99045000</c:v>
                </c:pt>
                <c:pt idx="19">
                  <c:v>130793000</c:v>
                </c:pt>
                <c:pt idx="20">
                  <c:v>135292000</c:v>
                </c:pt>
                <c:pt idx="21">
                  <c:v>197855000</c:v>
                </c:pt>
                <c:pt idx="22">
                  <c:v>312555000</c:v>
                </c:pt>
                <c:pt idx="23">
                  <c:v>524937000</c:v>
                </c:pt>
              </c:numCache>
            </c:numRef>
          </c:val>
          <c:extLst>
            <c:ext xmlns:c16="http://schemas.microsoft.com/office/drawing/2014/chart" uri="{C3380CC4-5D6E-409C-BE32-E72D297353CC}">
              <c16:uniqueId val="{00000001-1F11-2243-A58D-715B4E00E42E}"/>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1'!$B$106:$Y$106</c:f>
              <c:numCache>
                <c:formatCode>#,###,,;\(#,###,,\);\ \-\ \-</c:formatCode>
                <c:ptCount val="24"/>
                <c:pt idx="0">
                  <c:v>0</c:v>
                </c:pt>
                <c:pt idx="1">
                  <c:v>0</c:v>
                </c:pt>
                <c:pt idx="2">
                  <c:v>-2900000</c:v>
                </c:pt>
                <c:pt idx="3">
                  <c:v>-3427391</c:v>
                </c:pt>
                <c:pt idx="4">
                  <c:v>-4587164</c:v>
                </c:pt>
                <c:pt idx="5">
                  <c:v>-104616</c:v>
                </c:pt>
                <c:pt idx="6">
                  <c:v>15333000</c:v>
                </c:pt>
                <c:pt idx="7">
                  <c:v>4345000</c:v>
                </c:pt>
                <c:pt idx="8">
                  <c:v>17691000</c:v>
                </c:pt>
                <c:pt idx="9">
                  <c:v>34357000</c:v>
                </c:pt>
                <c:pt idx="10">
                  <c:v>21500000</c:v>
                </c:pt>
                <c:pt idx="11">
                  <c:v>25715000</c:v>
                </c:pt>
                <c:pt idx="12">
                  <c:v>22663000</c:v>
                </c:pt>
                <c:pt idx="13">
                  <c:v>3853000</c:v>
                </c:pt>
                <c:pt idx="14">
                  <c:v>44922000</c:v>
                </c:pt>
                <c:pt idx="15">
                  <c:v>64622000</c:v>
                </c:pt>
                <c:pt idx="16">
                  <c:v>53712000</c:v>
                </c:pt>
                <c:pt idx="17">
                  <c:v>70674000</c:v>
                </c:pt>
                <c:pt idx="18">
                  <c:v>68048000</c:v>
                </c:pt>
                <c:pt idx="19">
                  <c:v>118925000</c:v>
                </c:pt>
                <c:pt idx="20">
                  <c:v>119516000</c:v>
                </c:pt>
                <c:pt idx="21">
                  <c:v>212164000</c:v>
                </c:pt>
                <c:pt idx="22">
                  <c:v>224772000</c:v>
                </c:pt>
                <c:pt idx="23">
                  <c:v>187831000</c:v>
                </c:pt>
              </c:numCache>
            </c:numRef>
          </c:val>
          <c:extLst>
            <c:ext xmlns:c16="http://schemas.microsoft.com/office/drawing/2014/chart" uri="{C3380CC4-5D6E-409C-BE32-E72D297353CC}">
              <c16:uniqueId val="{00000002-1F11-2243-A58D-715B4E00E42E}"/>
            </c:ext>
          </c:extLst>
        </c:ser>
        <c:dLbls>
          <c:showLegendKey val="0"/>
          <c:showVal val="0"/>
          <c:showCatName val="0"/>
          <c:showSerName val="0"/>
          <c:showPercent val="0"/>
          <c:showBubbleSize val="0"/>
        </c:dLbls>
        <c:gapWidth val="100"/>
        <c:overlap val="-24"/>
        <c:axId val="316107599"/>
        <c:axId val="316109871"/>
      </c:barChart>
      <c:catAx>
        <c:axId val="3161075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6109871"/>
        <c:crosses val="autoZero"/>
        <c:auto val="1"/>
        <c:lblAlgn val="ctr"/>
        <c:lblOffset val="100"/>
        <c:noMultiLvlLbl val="0"/>
      </c:catAx>
      <c:valAx>
        <c:axId val="31610987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6107599"/>
        <c:crosses val="autoZero"/>
        <c:crossBetween val="between"/>
      </c:valAx>
      <c:spPr>
        <a:noFill/>
        <a:ln>
          <a:noFill/>
        </a:ln>
        <a:effectLst/>
      </c:spPr>
    </c:plotArea>
    <c:legend>
      <c:legendPos val="b"/>
      <c:layout>
        <c:manualLayout>
          <c:xMode val="edge"/>
          <c:yMode val="edge"/>
          <c:x val="0.34859823526327482"/>
          <c:y val="0.92923570182469706"/>
          <c:w val="0.30280352947345029"/>
          <c:h val="4.627200969196962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27</xdr:col>
      <xdr:colOff>7938</xdr:colOff>
      <xdr:row>108</xdr:row>
      <xdr:rowOff>25399</xdr:rowOff>
    </xdr:from>
    <xdr:to>
      <xdr:col>33</xdr:col>
      <xdr:colOff>0</xdr:colOff>
      <xdr:row>133</xdr:row>
      <xdr:rowOff>31750</xdr:rowOff>
    </xdr:to>
    <xdr:graphicFrame macro="">
      <xdr:nvGraphicFramePr>
        <xdr:cNvPr id="2" name="Chart 1">
          <a:extLst>
            <a:ext uri="{FF2B5EF4-FFF2-40B4-BE49-F238E27FC236}">
              <a16:creationId xmlns:a16="http://schemas.microsoft.com/office/drawing/2014/main" id="{C9DAC5F9-9414-201D-8CFA-B6A9C70873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https://www.bing.com/financeapi/forcetrigger?t=a1xwnm&amp;q=XNAS%3aMPWR&amp;form=skydnc</v>
    <v>Learn more on Bing</v>
  </rv>
  <rv s="1">
    <v>0</v>
    <v>MONOLITHIC POWER SYSTEMS, INC. (XNAS:MPWR)</v>
    <v>2</v>
    <v>3</v>
    <v>Finance</v>
    <v>4</v>
    <v>en-US</v>
    <v>a1xwnm</v>
    <v>268435456</v>
    <v>1</v>
    <v>Powered by Refinitiv</v>
    <v>541.39</v>
    <v>301.69</v>
    <v>1.1389</v>
    <v>-3.42</v>
    <v>-7.332E-3</v>
    <v>-13.92</v>
    <v>-3.0064999999999998E-2</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465.08</v>
    <v>Semiconductors &amp; Semiconductor Equipment</v>
    <v>Stock</v>
    <v>45037.935114154687</v>
    <v>0</v>
    <v>457.32</v>
    <v>21902210000</v>
    <v>MONOLITHIC POWER SYSTEMS, INC.</v>
    <v>MONOLITHIC POWER SYSTEMS, INC.</v>
    <v>463.3</v>
    <v>51.545099999999998</v>
    <v>466.42</v>
    <v>463</v>
    <v>449.08</v>
    <v>47305000</v>
    <v>MPWR</v>
    <v>MONOLITHIC POWER SYSTEMS, INC. (XNAS:MPWR)</v>
    <v>221807</v>
    <v>422735</v>
    <v>2004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280452/000119312508052915/d10k.htm" TargetMode="External"/><Relationship Id="rId26" Type="http://schemas.openxmlformats.org/officeDocument/2006/relationships/hyperlink" Target="https://www.sec.gov/Archives/edgar/data/1280452/000143774912002162/mps_10k-123111.htm" TargetMode="External"/><Relationship Id="rId39" Type="http://schemas.openxmlformats.org/officeDocument/2006/relationships/hyperlink" Target="https://www.sec.gov/Archives/edgar/data/1280452/000143774918003639/mpwr20171231_10k.htm" TargetMode="External"/><Relationship Id="rId21" Type="http://schemas.openxmlformats.org/officeDocument/2006/relationships/hyperlink" Target="https://www.sec.gov/Archives/edgar/data/1280452/000119312509040534/d10k.htm" TargetMode="External"/><Relationship Id="rId34" Type="http://schemas.openxmlformats.org/officeDocument/2006/relationships/hyperlink" Target="https://www.sec.gov/Archives/edgar/data/1280452/000143774916026344/mpwr20151119_10k.htm" TargetMode="External"/><Relationship Id="rId42" Type="http://schemas.openxmlformats.org/officeDocument/2006/relationships/hyperlink" Target="https://www.sec.gov/Archives/edgar/data/1280452/000143774920003943/mpwr20191231_10k.htm" TargetMode="External"/><Relationship Id="rId47" Type="http://schemas.openxmlformats.org/officeDocument/2006/relationships/hyperlink" Target="https://www.sec.gov/Archives/edgar/data/1280452/000143774922004460/0001437749-22-004460-index.htm" TargetMode="External"/><Relationship Id="rId50" Type="http://schemas.openxmlformats.org/officeDocument/2006/relationships/hyperlink" Target="https://finbox.com/NASDAQGS:MPWR/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280452/000119312507056647/d10k.htm" TargetMode="External"/><Relationship Id="rId29" Type="http://schemas.openxmlformats.org/officeDocument/2006/relationships/hyperlink" Target="https://www.sec.gov/Archives/edgar/data/1280452/000143774913002333/monolithic_10k-123112.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280452/000143774911001307/monolithic_10k-123110.htm" TargetMode="External"/><Relationship Id="rId32" Type="http://schemas.openxmlformats.org/officeDocument/2006/relationships/hyperlink" Target="https://www.sec.gov/Archives/edgar/data/1280452/000143774915003820/mpwr20141231_10k.htm" TargetMode="External"/><Relationship Id="rId37" Type="http://schemas.openxmlformats.org/officeDocument/2006/relationships/hyperlink" Target="https://www.sec.gov/Archives/edgar/data/1280452/000143774917003558/mpwr20161231_10k.htm" TargetMode="External"/><Relationship Id="rId40" Type="http://schemas.openxmlformats.org/officeDocument/2006/relationships/hyperlink" Target="https://www.sec.gov/Archives/edgar/data/1280452/000143774919003798/mpwr20181231_10k.htm" TargetMode="External"/><Relationship Id="rId45" Type="http://schemas.openxmlformats.org/officeDocument/2006/relationships/hyperlink" Target="https://www.sec.gov/Archives/edgar/data/1280452/000143774921004587/0001437749-21-00458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280452/000119312506065261/d10k.htm" TargetMode="External"/><Relationship Id="rId23" Type="http://schemas.openxmlformats.org/officeDocument/2006/relationships/hyperlink" Target="https://www.sec.gov/Archives/edgar/data/1280452/000119312510030881/d10k.htm" TargetMode="External"/><Relationship Id="rId28" Type="http://schemas.openxmlformats.org/officeDocument/2006/relationships/hyperlink" Target="https://www.sec.gov/Archives/edgar/data/1280452/000143774913002333/monolithic_10k-123112.htm" TargetMode="External"/><Relationship Id="rId36" Type="http://schemas.openxmlformats.org/officeDocument/2006/relationships/hyperlink" Target="https://www.sec.gov/Archives/edgar/data/1280452/000143774917003558/mpwr20161231_10k.htm" TargetMode="External"/><Relationship Id="rId49" Type="http://schemas.openxmlformats.org/officeDocument/2006/relationships/hyperlink" Target="https://www.sec.gov/Archives/edgar/data/1280452/000143774923004540/0001437749-23-004540-index.htm"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280452/000119312508052915/d10k.htm" TargetMode="External"/><Relationship Id="rId31" Type="http://schemas.openxmlformats.org/officeDocument/2006/relationships/hyperlink" Target="https://www.sec.gov/Archives/edgar/data/1280452/000143774914003761/mpwr20131231_10k.htm" TargetMode="External"/><Relationship Id="rId44" Type="http://schemas.openxmlformats.org/officeDocument/2006/relationships/hyperlink" Target="https://www.sec.gov/Archives/edgar/data/1280452/000143774921004587/0001437749-21-004587-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280452/000119312506065261/d10k.htm" TargetMode="External"/><Relationship Id="rId22" Type="http://schemas.openxmlformats.org/officeDocument/2006/relationships/hyperlink" Target="https://www.sec.gov/Archives/edgar/data/1280452/000119312510030881/d10k.htm" TargetMode="External"/><Relationship Id="rId27" Type="http://schemas.openxmlformats.org/officeDocument/2006/relationships/hyperlink" Target="https://www.sec.gov/Archives/edgar/data/1280452/000143774912002162/mps_10k-123111.htm" TargetMode="External"/><Relationship Id="rId30" Type="http://schemas.openxmlformats.org/officeDocument/2006/relationships/hyperlink" Target="https://www.sec.gov/Archives/edgar/data/1280452/000143774914003761/mpwr20131231_10k.htm" TargetMode="External"/><Relationship Id="rId35" Type="http://schemas.openxmlformats.org/officeDocument/2006/relationships/hyperlink" Target="https://www.sec.gov/Archives/edgar/data/1280452/000143774916026344/mpwr20151119_10k.htm" TargetMode="External"/><Relationship Id="rId43" Type="http://schemas.openxmlformats.org/officeDocument/2006/relationships/hyperlink" Target="https://www.sec.gov/Archives/edgar/data/1280452/000143774920003943/mpwr20191231_10k.htm" TargetMode="External"/><Relationship Id="rId48" Type="http://schemas.openxmlformats.org/officeDocument/2006/relationships/hyperlink" Target="https://www.sec.gov/Archives/edgar/data/1280452/000143774923004540/0001437749-23-004540-index.htm" TargetMode="External"/><Relationship Id="rId8" Type="http://schemas.openxmlformats.org/officeDocument/2006/relationships/hyperlink" Target="https://sec.gov/" TargetMode="External"/><Relationship Id="rId51"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280452/000119312507056647/d10k.htm" TargetMode="External"/><Relationship Id="rId25" Type="http://schemas.openxmlformats.org/officeDocument/2006/relationships/hyperlink" Target="https://www.sec.gov/Archives/edgar/data/1280452/000143774911001307/monolithic_10k-123110.htm" TargetMode="External"/><Relationship Id="rId33" Type="http://schemas.openxmlformats.org/officeDocument/2006/relationships/hyperlink" Target="https://www.sec.gov/Archives/edgar/data/1280452/000143774915003820/mpwr20141231_10k.htm" TargetMode="External"/><Relationship Id="rId38" Type="http://schemas.openxmlformats.org/officeDocument/2006/relationships/hyperlink" Target="https://www.sec.gov/Archives/edgar/data/1280452/000143774918003639/mpwr20171231_10k.htm" TargetMode="External"/><Relationship Id="rId46" Type="http://schemas.openxmlformats.org/officeDocument/2006/relationships/hyperlink" Target="https://www.sec.gov/Archives/edgar/data/1280452/000143774922004460/0001437749-22-004460-index.htm" TargetMode="External"/><Relationship Id="rId20" Type="http://schemas.openxmlformats.org/officeDocument/2006/relationships/hyperlink" Target="https://www.sec.gov/Archives/edgar/data/1280452/000119312509040534/d10k.htm" TargetMode="External"/><Relationship Id="rId41" Type="http://schemas.openxmlformats.org/officeDocument/2006/relationships/hyperlink" Target="https://www.sec.gov/Archives/edgar/data/1280452/000143774919003798/mpwr20181231_10k.htm" TargetMode="External"/><Relationship Id="rId1" Type="http://schemas.openxmlformats.org/officeDocument/2006/relationships/hyperlink" Target="https://roic.ai/company/MPWR" TargetMode="External"/><Relationship Id="rId6"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18"/>
  <sheetViews>
    <sheetView tabSelected="1" zoomScale="80" zoomScaleNormal="80" workbookViewId="0">
      <pane xSplit="1" ySplit="1" topLeftCell="X81" activePane="bottomRight" state="frozen"/>
      <selection pane="topRight"/>
      <selection pane="bottomLeft"/>
      <selection pane="bottomRight" activeCell="AA96" sqref="AA96"/>
    </sheetView>
  </sheetViews>
  <sheetFormatPr baseColWidth="10" defaultRowHeight="16" x14ac:dyDescent="0.2"/>
  <cols>
    <col min="1" max="1" width="50" customWidth="1"/>
    <col min="2" max="25" width="15" customWidth="1"/>
    <col min="26" max="34" width="21" customWidth="1"/>
  </cols>
  <sheetData>
    <row r="1" spans="1:34"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27">
        <v>2023</v>
      </c>
      <c r="AA1" s="27">
        <v>2024</v>
      </c>
      <c r="AB1" s="27">
        <v>2025</v>
      </c>
      <c r="AC1" s="27">
        <v>2026</v>
      </c>
      <c r="AD1" s="27">
        <v>2027</v>
      </c>
    </row>
    <row r="2" spans="1:34"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c r="AD2" s="9"/>
      <c r="AE2" s="9"/>
      <c r="AF2" s="9"/>
      <c r="AG2" s="9"/>
      <c r="AH2" s="9"/>
    </row>
    <row r="3" spans="1:34" ht="40" x14ac:dyDescent="0.25">
      <c r="A3" s="5" t="s">
        <v>1</v>
      </c>
      <c r="B3" s="1">
        <v>600000</v>
      </c>
      <c r="C3" s="1">
        <v>5252000</v>
      </c>
      <c r="D3" s="1">
        <v>8130355</v>
      </c>
      <c r="E3" s="1">
        <v>12205601</v>
      </c>
      <c r="F3" s="1">
        <v>24204331</v>
      </c>
      <c r="G3" s="1">
        <v>47595039</v>
      </c>
      <c r="H3" s="1">
        <v>99131000</v>
      </c>
      <c r="I3" s="1">
        <v>105015000</v>
      </c>
      <c r="J3" s="1">
        <v>134004000</v>
      </c>
      <c r="K3" s="1">
        <v>160511000</v>
      </c>
      <c r="L3" s="1">
        <v>165008000</v>
      </c>
      <c r="M3" s="1">
        <v>218840000</v>
      </c>
      <c r="N3" s="1">
        <v>196519000</v>
      </c>
      <c r="O3" s="1">
        <v>213813000</v>
      </c>
      <c r="P3" s="1">
        <v>238091000</v>
      </c>
      <c r="Q3" s="1">
        <v>282535000</v>
      </c>
      <c r="R3" s="1">
        <v>333067000</v>
      </c>
      <c r="S3" s="1">
        <v>388665000</v>
      </c>
      <c r="T3" s="1">
        <v>470929000</v>
      </c>
      <c r="U3" s="1">
        <v>582382000</v>
      </c>
      <c r="V3" s="1">
        <v>627921000</v>
      </c>
      <c r="W3" s="1">
        <v>844452000</v>
      </c>
      <c r="X3" s="1">
        <v>1207798000</v>
      </c>
      <c r="Y3" s="1">
        <v>1794148000</v>
      </c>
      <c r="Z3" s="28">
        <v>1952000000</v>
      </c>
      <c r="AA3" s="28">
        <v>2307000000</v>
      </c>
      <c r="AB3" s="28">
        <v>2836000000</v>
      </c>
      <c r="AC3" s="28">
        <v>3012000000</v>
      </c>
      <c r="AD3" s="28">
        <v>3528000000</v>
      </c>
      <c r="AE3" s="18" t="s">
        <v>109</v>
      </c>
      <c r="AF3" s="19" t="s">
        <v>110</v>
      </c>
      <c r="AG3" s="19" t="s">
        <v>111</v>
      </c>
      <c r="AH3" s="19" t="s">
        <v>112</v>
      </c>
    </row>
    <row r="4" spans="1:34" ht="19" x14ac:dyDescent="0.25">
      <c r="A4" s="14" t="s">
        <v>94</v>
      </c>
      <c r="B4" s="1"/>
      <c r="C4" s="15">
        <f>(C3/B3)-1</f>
        <v>7.7533333333333339</v>
      </c>
      <c r="D4" s="15">
        <f>(D3/C3)-1</f>
        <v>0.54804931454683925</v>
      </c>
      <c r="E4" s="15">
        <f>(E3/D3)-1</f>
        <v>0.50123838380980912</v>
      </c>
      <c r="F4" s="15">
        <f t="shared" ref="F4:AD4" si="0">(F3/E3)-1</f>
        <v>0.98305114184872999</v>
      </c>
      <c r="G4" s="15">
        <f t="shared" si="0"/>
        <v>0.96638523080848637</v>
      </c>
      <c r="H4" s="16">
        <f t="shared" si="0"/>
        <v>1.0828011087458087</v>
      </c>
      <c r="I4" s="16">
        <f t="shared" si="0"/>
        <v>5.935580191867329E-2</v>
      </c>
      <c r="J4" s="16">
        <f t="shared" si="0"/>
        <v>0.27604627910298518</v>
      </c>
      <c r="K4" s="16">
        <f t="shared" si="0"/>
        <v>0.19780752813348856</v>
      </c>
      <c r="L4" s="16">
        <f t="shared" si="0"/>
        <v>2.8016771436225607E-2</v>
      </c>
      <c r="M4" s="16">
        <f t="shared" si="0"/>
        <v>0.32623872781925733</v>
      </c>
      <c r="N4" s="16">
        <f t="shared" si="0"/>
        <v>-0.10199689270700052</v>
      </c>
      <c r="O4" s="16">
        <f t="shared" si="0"/>
        <v>8.8001669049811992E-2</v>
      </c>
      <c r="P4" s="16">
        <f t="shared" si="0"/>
        <v>0.11354781982386486</v>
      </c>
      <c r="Q4" s="16">
        <f t="shared" si="0"/>
        <v>0.18666812269258393</v>
      </c>
      <c r="R4" s="16">
        <f t="shared" si="0"/>
        <v>0.17885217760631433</v>
      </c>
      <c r="S4" s="16">
        <f t="shared" si="0"/>
        <v>0.16692737497260302</v>
      </c>
      <c r="T4" s="16">
        <f t="shared" si="0"/>
        <v>0.21165785445049079</v>
      </c>
      <c r="U4" s="16">
        <f t="shared" si="0"/>
        <v>0.23666624905240496</v>
      </c>
      <c r="V4" s="16">
        <f t="shared" si="0"/>
        <v>7.8194381007654856E-2</v>
      </c>
      <c r="W4" s="16">
        <f t="shared" si="0"/>
        <v>0.34483796528544186</v>
      </c>
      <c r="X4" s="16">
        <f t="shared" si="0"/>
        <v>0.43027430807198042</v>
      </c>
      <c r="Y4" s="16">
        <f t="shared" si="0"/>
        <v>0.48547025247599351</v>
      </c>
      <c r="Z4" s="16">
        <f t="shared" si="0"/>
        <v>8.7981593491729848E-2</v>
      </c>
      <c r="AA4" s="16">
        <f t="shared" si="0"/>
        <v>0.18186475409836067</v>
      </c>
      <c r="AB4" s="16">
        <f t="shared" si="0"/>
        <v>0.22930212397052441</v>
      </c>
      <c r="AC4" s="16">
        <f t="shared" si="0"/>
        <v>6.205923836389271E-2</v>
      </c>
      <c r="AD4" s="16">
        <f t="shared" si="0"/>
        <v>0.17131474103585664</v>
      </c>
      <c r="AE4" s="17">
        <f>(Y4+X4+W4)/3</f>
        <v>0.42019417527780528</v>
      </c>
      <c r="AF4" s="17">
        <f>(Y20+X20+W20)/3</f>
        <v>0.57388322976959838</v>
      </c>
      <c r="AG4" s="17">
        <f>(Y29+X29+W29)/3</f>
        <v>0.59701055101242206</v>
      </c>
      <c r="AH4" s="17">
        <f>(Y105+X105+W105)/3</f>
        <v>0.2234234148423756</v>
      </c>
    </row>
    <row r="5" spans="1:34" ht="19" x14ac:dyDescent="0.25">
      <c r="A5" s="5" t="s">
        <v>2</v>
      </c>
      <c r="B5" s="1">
        <v>500000</v>
      </c>
      <c r="C5" s="1">
        <v>3853000</v>
      </c>
      <c r="D5" s="1">
        <v>5974798</v>
      </c>
      <c r="E5" s="1">
        <v>6831070</v>
      </c>
      <c r="F5" s="1">
        <v>10929935</v>
      </c>
      <c r="G5" s="1">
        <v>19490867</v>
      </c>
      <c r="H5" s="1">
        <v>36003000</v>
      </c>
      <c r="I5" s="1">
        <v>38107000</v>
      </c>
      <c r="J5" s="1">
        <v>48781000</v>
      </c>
      <c r="K5" s="1">
        <v>61184000</v>
      </c>
      <c r="L5" s="1">
        <v>67330000</v>
      </c>
      <c r="M5" s="1">
        <v>97383000</v>
      </c>
      <c r="N5" s="1">
        <v>94925000</v>
      </c>
      <c r="O5" s="1">
        <v>100665000</v>
      </c>
      <c r="P5" s="1">
        <v>110190000</v>
      </c>
      <c r="Q5" s="1">
        <v>129917000</v>
      </c>
      <c r="R5" s="1">
        <v>152898000</v>
      </c>
      <c r="S5" s="1">
        <v>177792000</v>
      </c>
      <c r="T5" s="1">
        <v>212646000</v>
      </c>
      <c r="U5" s="1">
        <v>259714000</v>
      </c>
      <c r="V5" s="1">
        <v>281596000</v>
      </c>
      <c r="W5" s="1">
        <v>378498000</v>
      </c>
      <c r="X5" s="1">
        <v>522339000</v>
      </c>
      <c r="Y5" s="1">
        <v>745596000</v>
      </c>
    </row>
    <row r="6" spans="1:34" ht="20" x14ac:dyDescent="0.25">
      <c r="A6" s="6" t="s">
        <v>3</v>
      </c>
      <c r="B6" s="10">
        <v>100000</v>
      </c>
      <c r="C6" s="10">
        <v>1399000</v>
      </c>
      <c r="D6" s="10">
        <v>2155557</v>
      </c>
      <c r="E6" s="10">
        <v>5374531</v>
      </c>
      <c r="F6" s="10">
        <v>13274396</v>
      </c>
      <c r="G6" s="10">
        <v>28104172</v>
      </c>
      <c r="H6" s="10">
        <v>63128000</v>
      </c>
      <c r="I6" s="10">
        <v>66908000</v>
      </c>
      <c r="J6" s="10">
        <v>85223000</v>
      </c>
      <c r="K6" s="10">
        <v>99327000</v>
      </c>
      <c r="L6" s="10">
        <v>97678000</v>
      </c>
      <c r="M6" s="10">
        <v>121457000</v>
      </c>
      <c r="N6" s="10">
        <v>101594000</v>
      </c>
      <c r="O6" s="10">
        <v>113148000</v>
      </c>
      <c r="P6" s="10">
        <v>127901000</v>
      </c>
      <c r="Q6" s="10">
        <v>152618000</v>
      </c>
      <c r="R6" s="10">
        <v>180169000</v>
      </c>
      <c r="S6" s="10">
        <v>210873000</v>
      </c>
      <c r="T6" s="10">
        <v>258283000</v>
      </c>
      <c r="U6" s="10">
        <v>322668000</v>
      </c>
      <c r="V6" s="10">
        <v>346325000</v>
      </c>
      <c r="W6" s="10">
        <v>465954000</v>
      </c>
      <c r="X6" s="10">
        <v>685459000</v>
      </c>
      <c r="Y6" s="10">
        <v>1048552000</v>
      </c>
      <c r="AE6" s="18" t="s">
        <v>113</v>
      </c>
      <c r="AF6" s="19" t="s">
        <v>114</v>
      </c>
      <c r="AG6" s="19" t="s">
        <v>115</v>
      </c>
      <c r="AH6" s="19" t="s">
        <v>116</v>
      </c>
    </row>
    <row r="7" spans="1:34" ht="19" x14ac:dyDescent="0.25">
      <c r="A7" s="5" t="s">
        <v>4</v>
      </c>
      <c r="B7" s="2">
        <v>0.16669999999999999</v>
      </c>
      <c r="C7" s="2">
        <v>0.26640000000000003</v>
      </c>
      <c r="D7" s="2">
        <v>0.2651</v>
      </c>
      <c r="E7" s="2">
        <v>0.44030000000000002</v>
      </c>
      <c r="F7" s="2">
        <v>0.5484</v>
      </c>
      <c r="G7" s="2">
        <v>0.59050000000000002</v>
      </c>
      <c r="H7" s="2">
        <v>0.63680000000000003</v>
      </c>
      <c r="I7" s="2">
        <v>0.6371</v>
      </c>
      <c r="J7" s="2">
        <v>0.63600000000000001</v>
      </c>
      <c r="K7" s="2">
        <v>0.61880000000000002</v>
      </c>
      <c r="L7" s="2">
        <v>0.59199999999999997</v>
      </c>
      <c r="M7" s="2">
        <v>0.55500000000000005</v>
      </c>
      <c r="N7" s="2">
        <v>0.51700000000000002</v>
      </c>
      <c r="O7" s="2">
        <v>0.5292</v>
      </c>
      <c r="P7" s="2">
        <v>0.53720000000000001</v>
      </c>
      <c r="Q7" s="2">
        <v>0.54020000000000001</v>
      </c>
      <c r="R7" s="2">
        <v>0.54090000000000005</v>
      </c>
      <c r="S7" s="2">
        <v>0.54259999999999997</v>
      </c>
      <c r="T7" s="2">
        <v>0.54849999999999999</v>
      </c>
      <c r="U7" s="2">
        <v>0.55400000000000005</v>
      </c>
      <c r="V7" s="2">
        <v>0.55149999999999999</v>
      </c>
      <c r="W7" s="2">
        <v>0.55179999999999996</v>
      </c>
      <c r="X7" s="2">
        <v>0.5675</v>
      </c>
      <c r="Y7" s="2">
        <v>0.58440000000000003</v>
      </c>
      <c r="AE7" s="17">
        <f>Y7</f>
        <v>0.58440000000000003</v>
      </c>
      <c r="AF7" s="20">
        <f>Y21</f>
        <v>0.29260000000000003</v>
      </c>
      <c r="AG7" s="20">
        <f>Y30</f>
        <v>0.24390000000000001</v>
      </c>
      <c r="AH7" s="20">
        <f>Y106/Y3</f>
        <v>0.10469091736021778</v>
      </c>
    </row>
    <row r="8" spans="1:34" ht="19" x14ac:dyDescent="0.25">
      <c r="A8" s="5" t="s">
        <v>5</v>
      </c>
      <c r="B8" s="1">
        <v>1200000</v>
      </c>
      <c r="C8" s="1">
        <v>1435000</v>
      </c>
      <c r="D8" s="1">
        <v>2610048</v>
      </c>
      <c r="E8" s="1">
        <v>4459264</v>
      </c>
      <c r="F8" s="1">
        <v>5493747</v>
      </c>
      <c r="G8" s="1">
        <v>7688494</v>
      </c>
      <c r="H8" s="1">
        <v>14826000</v>
      </c>
      <c r="I8" s="1">
        <v>22301000</v>
      </c>
      <c r="J8" s="1">
        <v>27342000</v>
      </c>
      <c r="K8" s="1">
        <v>34850000</v>
      </c>
      <c r="L8" s="1">
        <v>38295000</v>
      </c>
      <c r="M8" s="1">
        <v>44372000</v>
      </c>
      <c r="N8" s="1">
        <v>44518000</v>
      </c>
      <c r="O8" s="1">
        <v>48796000</v>
      </c>
      <c r="P8" s="1">
        <v>49733000</v>
      </c>
      <c r="Q8" s="1">
        <v>58590000</v>
      </c>
      <c r="R8" s="1">
        <v>65787000</v>
      </c>
      <c r="S8" s="1">
        <v>73643000</v>
      </c>
      <c r="T8" s="1">
        <v>82359000</v>
      </c>
      <c r="U8" s="1">
        <v>93455000</v>
      </c>
      <c r="V8" s="1">
        <v>107757000</v>
      </c>
      <c r="W8" s="1">
        <v>137598000</v>
      </c>
      <c r="X8" s="1">
        <v>190627000</v>
      </c>
      <c r="Y8" s="1">
        <v>240171000</v>
      </c>
    </row>
    <row r="9" spans="1:34" ht="19" customHeight="1" x14ac:dyDescent="0.25">
      <c r="A9" s="14" t="s">
        <v>95</v>
      </c>
      <c r="B9" s="15">
        <f>B8/B3</f>
        <v>2</v>
      </c>
      <c r="C9" s="15">
        <f t="shared" ref="C9:Y9" si="1">C8/C3</f>
        <v>0.27322924600152321</v>
      </c>
      <c r="D9" s="15">
        <f t="shared" si="1"/>
        <v>0.32102509669011992</v>
      </c>
      <c r="E9" s="15">
        <f t="shared" si="1"/>
        <v>0.3653457130050376</v>
      </c>
      <c r="F9" s="15">
        <f t="shared" si="1"/>
        <v>0.22697371805070754</v>
      </c>
      <c r="G9" s="15">
        <f t="shared" si="1"/>
        <v>0.16153981930763833</v>
      </c>
      <c r="H9" s="15">
        <f t="shared" si="1"/>
        <v>0.14955967356326477</v>
      </c>
      <c r="I9" s="15">
        <f t="shared" si="1"/>
        <v>0.21236013902775794</v>
      </c>
      <c r="J9" s="15">
        <f t="shared" si="1"/>
        <v>0.20403868541237574</v>
      </c>
      <c r="K9" s="15">
        <f t="shared" si="1"/>
        <v>0.21711907595118091</v>
      </c>
      <c r="L9" s="15">
        <f t="shared" si="1"/>
        <v>0.23207965674391545</v>
      </c>
      <c r="M9" s="15">
        <f t="shared" si="1"/>
        <v>0.20276000731127763</v>
      </c>
      <c r="N9" s="15">
        <f t="shared" si="1"/>
        <v>0.2265328034439418</v>
      </c>
      <c r="O9" s="15">
        <f t="shared" si="1"/>
        <v>0.22821811583018806</v>
      </c>
      <c r="P9" s="15">
        <f t="shared" si="1"/>
        <v>0.20888231810526228</v>
      </c>
      <c r="Q9" s="15">
        <f t="shared" si="1"/>
        <v>0.20737253791565646</v>
      </c>
      <c r="R9" s="15">
        <f t="shared" si="1"/>
        <v>0.19751881753521064</v>
      </c>
      <c r="S9" s="15">
        <f t="shared" si="1"/>
        <v>0.18947679878558657</v>
      </c>
      <c r="T9" s="15">
        <f t="shared" si="1"/>
        <v>0.17488623550471516</v>
      </c>
      <c r="U9" s="15">
        <f t="shared" si="1"/>
        <v>0.16047027552362539</v>
      </c>
      <c r="V9" s="15">
        <f t="shared" si="1"/>
        <v>0.1716091673952615</v>
      </c>
      <c r="W9" s="15">
        <f t="shared" si="1"/>
        <v>0.16294354208409714</v>
      </c>
      <c r="X9" s="15">
        <f t="shared" si="1"/>
        <v>0.15783020008312648</v>
      </c>
      <c r="Y9" s="15">
        <f t="shared" si="1"/>
        <v>0.13386353857095401</v>
      </c>
      <c r="AE9" s="18" t="s">
        <v>96</v>
      </c>
      <c r="AF9" s="19" t="s">
        <v>97</v>
      </c>
      <c r="AG9" s="19" t="s">
        <v>98</v>
      </c>
      <c r="AH9" s="19" t="s">
        <v>99</v>
      </c>
    </row>
    <row r="10" spans="1:34" ht="19" x14ac:dyDescent="0.25">
      <c r="A10" s="5" t="s">
        <v>6</v>
      </c>
      <c r="B10" s="1">
        <v>200000</v>
      </c>
      <c r="C10" s="1">
        <v>1102000</v>
      </c>
      <c r="D10" s="1" t="s">
        <v>92</v>
      </c>
      <c r="E10" s="1">
        <v>4209946</v>
      </c>
      <c r="F10" s="1">
        <v>10986751</v>
      </c>
      <c r="G10" s="1">
        <v>25945423</v>
      </c>
      <c r="H10" s="1">
        <v>41838000</v>
      </c>
      <c r="I10" s="1">
        <v>27594000</v>
      </c>
      <c r="J10" s="1">
        <v>29537000</v>
      </c>
      <c r="K10" s="1">
        <v>35256000</v>
      </c>
      <c r="L10" s="1">
        <v>39853000</v>
      </c>
      <c r="M10" s="1">
        <v>46587000</v>
      </c>
      <c r="N10" s="1">
        <v>40280000</v>
      </c>
      <c r="O10" s="1">
        <v>50018000</v>
      </c>
      <c r="P10" s="1">
        <v>54624000</v>
      </c>
      <c r="Q10" s="1">
        <v>66755000</v>
      </c>
      <c r="R10" s="1">
        <v>72312000</v>
      </c>
      <c r="S10" s="1">
        <v>83012000</v>
      </c>
      <c r="T10" s="1">
        <v>97257000</v>
      </c>
      <c r="U10" s="1">
        <v>113803000</v>
      </c>
      <c r="V10" s="1" t="s">
        <v>92</v>
      </c>
      <c r="W10" s="1" t="s">
        <v>92</v>
      </c>
      <c r="X10" s="1" t="s">
        <v>92</v>
      </c>
      <c r="Y10" s="1" t="s">
        <v>92</v>
      </c>
      <c r="AE10" s="17">
        <f>Y9</f>
        <v>0.13386353857095401</v>
      </c>
      <c r="AF10" s="20">
        <f>Y13</f>
        <v>0.15249299388902141</v>
      </c>
      <c r="AG10" s="20">
        <f>Y80</f>
        <v>8.9731727817326107E-2</v>
      </c>
      <c r="AH10" s="20">
        <f>Y89</f>
        <v>3.279718284110341E-2</v>
      </c>
    </row>
    <row r="11" spans="1:34"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row>
    <row r="12" spans="1:34" ht="20" x14ac:dyDescent="0.25">
      <c r="A12" s="5" t="s">
        <v>8</v>
      </c>
      <c r="B12" s="1">
        <v>200000</v>
      </c>
      <c r="C12" s="1">
        <v>1102000</v>
      </c>
      <c r="D12" s="1" t="s">
        <v>92</v>
      </c>
      <c r="E12" s="1">
        <v>4209946</v>
      </c>
      <c r="F12" s="1">
        <v>10986751</v>
      </c>
      <c r="G12" s="1">
        <v>25945423</v>
      </c>
      <c r="H12" s="1">
        <v>41838000</v>
      </c>
      <c r="I12" s="1">
        <v>27594000</v>
      </c>
      <c r="J12" s="1">
        <v>29537000</v>
      </c>
      <c r="K12" s="1">
        <v>35256000</v>
      </c>
      <c r="L12" s="1">
        <v>39853000</v>
      </c>
      <c r="M12" s="1">
        <v>46587000</v>
      </c>
      <c r="N12" s="1">
        <v>40280000</v>
      </c>
      <c r="O12" s="1">
        <v>50018000</v>
      </c>
      <c r="P12" s="1">
        <v>54624000</v>
      </c>
      <c r="Q12" s="1">
        <v>66755000</v>
      </c>
      <c r="R12" s="1">
        <v>72312000</v>
      </c>
      <c r="S12" s="1">
        <v>83012000</v>
      </c>
      <c r="T12" s="1">
        <v>97257000</v>
      </c>
      <c r="U12" s="1">
        <v>113803000</v>
      </c>
      <c r="V12" s="1">
        <v>133542000</v>
      </c>
      <c r="W12" s="1">
        <v>161670000</v>
      </c>
      <c r="X12" s="1">
        <v>226190000</v>
      </c>
      <c r="Y12" s="1">
        <v>273595000</v>
      </c>
      <c r="AE12" s="18" t="s">
        <v>117</v>
      </c>
      <c r="AF12" s="19" t="s">
        <v>118</v>
      </c>
      <c r="AG12" s="19" t="s">
        <v>119</v>
      </c>
      <c r="AH12" s="19" t="s">
        <v>120</v>
      </c>
    </row>
    <row r="13" spans="1:34" ht="19" x14ac:dyDescent="0.25">
      <c r="A13" s="14" t="s">
        <v>100</v>
      </c>
      <c r="B13" s="15">
        <f>B12/B3</f>
        <v>0.33333333333333331</v>
      </c>
      <c r="C13" s="15">
        <f t="shared" ref="C13:Y13" si="2">C12/C3</f>
        <v>0.20982482863670981</v>
      </c>
      <c r="D13" s="15" t="e">
        <f t="shared" si="2"/>
        <v>#VALUE!</v>
      </c>
      <c r="E13" s="15">
        <f t="shared" si="2"/>
        <v>0.34491918914930941</v>
      </c>
      <c r="F13" s="15">
        <f t="shared" si="2"/>
        <v>0.45391673911582187</v>
      </c>
      <c r="G13" s="15">
        <f t="shared" si="2"/>
        <v>0.54512872654647893</v>
      </c>
      <c r="H13" s="15">
        <f t="shared" si="2"/>
        <v>0.4220475935882822</v>
      </c>
      <c r="I13" s="15">
        <f t="shared" si="2"/>
        <v>0.2627624625053564</v>
      </c>
      <c r="J13" s="15">
        <f t="shared" si="2"/>
        <v>0.22041879346885168</v>
      </c>
      <c r="K13" s="15">
        <f t="shared" si="2"/>
        <v>0.21964849761075564</v>
      </c>
      <c r="L13" s="15">
        <f t="shared" si="2"/>
        <v>0.24152162319402695</v>
      </c>
      <c r="M13" s="15">
        <f t="shared" si="2"/>
        <v>0.21288155730213854</v>
      </c>
      <c r="N13" s="15">
        <f t="shared" si="2"/>
        <v>0.20496745861723295</v>
      </c>
      <c r="O13" s="15">
        <f t="shared" si="2"/>
        <v>0.23393339039253927</v>
      </c>
      <c r="P13" s="15">
        <f t="shared" si="2"/>
        <v>0.22942488376293099</v>
      </c>
      <c r="Q13" s="15">
        <f t="shared" si="2"/>
        <v>0.23627161236660946</v>
      </c>
      <c r="R13" s="15">
        <f t="shared" si="2"/>
        <v>0.21710947046690304</v>
      </c>
      <c r="S13" s="15">
        <f t="shared" si="2"/>
        <v>0.21358239100510723</v>
      </c>
      <c r="T13" s="15">
        <f t="shared" si="2"/>
        <v>0.20652157756264744</v>
      </c>
      <c r="U13" s="15">
        <f t="shared" si="2"/>
        <v>0.19540954219052101</v>
      </c>
      <c r="V13" s="15">
        <f t="shared" si="2"/>
        <v>0.21267325029741002</v>
      </c>
      <c r="W13" s="15">
        <f t="shared" si="2"/>
        <v>0.1914496028193432</v>
      </c>
      <c r="X13" s="15">
        <f t="shared" si="2"/>
        <v>0.18727469328480426</v>
      </c>
      <c r="Y13" s="15">
        <f t="shared" si="2"/>
        <v>0.15249299388902141</v>
      </c>
      <c r="AE13" s="17">
        <f>Y28/Y72</f>
        <v>0.26229861884379857</v>
      </c>
      <c r="AF13" s="20">
        <f>Y28/Y54</f>
        <v>0.21257719590943641</v>
      </c>
      <c r="AG13" s="20">
        <f>Y22/(Y72+Y56+Y61)</f>
        <v>0.32049943605485309</v>
      </c>
      <c r="AH13" s="21">
        <f>Y67/Y72</f>
        <v>0.23389819741316384</v>
      </c>
    </row>
    <row r="14" spans="1:34" ht="19" x14ac:dyDescent="0.25">
      <c r="A14" s="5" t="s">
        <v>9</v>
      </c>
      <c r="B14" s="1" t="s">
        <v>92</v>
      </c>
      <c r="C14" s="1">
        <v>494000</v>
      </c>
      <c r="D14" s="1" t="s">
        <v>92</v>
      </c>
      <c r="E14" s="1" t="s">
        <v>92</v>
      </c>
      <c r="F14" s="1" t="s">
        <v>92</v>
      </c>
      <c r="G14" s="1" t="s">
        <v>92</v>
      </c>
      <c r="H14" s="1" t="s">
        <v>92</v>
      </c>
      <c r="I14" s="1">
        <v>15778000</v>
      </c>
      <c r="J14" s="1">
        <v>18674000</v>
      </c>
      <c r="K14" s="1" t="s">
        <v>92</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row>
    <row r="15" spans="1:34" ht="20" x14ac:dyDescent="0.25">
      <c r="A15" s="5" t="s">
        <v>10</v>
      </c>
      <c r="B15" s="1">
        <v>1400000</v>
      </c>
      <c r="C15" s="1">
        <v>3031000</v>
      </c>
      <c r="D15" s="1">
        <v>2610048</v>
      </c>
      <c r="E15" s="1">
        <v>8669210</v>
      </c>
      <c r="F15" s="1">
        <v>16480498</v>
      </c>
      <c r="G15" s="1">
        <v>33633917</v>
      </c>
      <c r="H15" s="1">
        <v>56664000</v>
      </c>
      <c r="I15" s="1">
        <v>65673000</v>
      </c>
      <c r="J15" s="1">
        <v>75553000</v>
      </c>
      <c r="K15" s="1">
        <v>70106000</v>
      </c>
      <c r="L15" s="1">
        <v>78148000</v>
      </c>
      <c r="M15" s="1">
        <v>90959000</v>
      </c>
      <c r="N15" s="1">
        <v>84798000</v>
      </c>
      <c r="O15" s="1">
        <v>98814000</v>
      </c>
      <c r="P15" s="1">
        <v>104357000</v>
      </c>
      <c r="Q15" s="1">
        <v>125345000</v>
      </c>
      <c r="R15" s="1">
        <v>138099000</v>
      </c>
      <c r="S15" s="1">
        <v>156655000</v>
      </c>
      <c r="T15" s="1">
        <v>179616000</v>
      </c>
      <c r="U15" s="1">
        <v>207258000</v>
      </c>
      <c r="V15" s="1">
        <v>241299000</v>
      </c>
      <c r="W15" s="1">
        <v>299268000</v>
      </c>
      <c r="X15" s="1">
        <v>416817000</v>
      </c>
      <c r="Y15" s="1">
        <v>513766000</v>
      </c>
      <c r="AE15" s="18" t="s">
        <v>121</v>
      </c>
      <c r="AF15" s="19" t="s">
        <v>122</v>
      </c>
      <c r="AG15" s="19" t="s">
        <v>123</v>
      </c>
      <c r="AH15" s="19" t="s">
        <v>124</v>
      </c>
    </row>
    <row r="16" spans="1:34" ht="19" x14ac:dyDescent="0.25">
      <c r="A16" s="5" t="s">
        <v>11</v>
      </c>
      <c r="B16" s="1">
        <v>1900000</v>
      </c>
      <c r="C16" s="1">
        <v>6884000</v>
      </c>
      <c r="D16" s="1">
        <v>8584846</v>
      </c>
      <c r="E16" s="1">
        <v>15500280</v>
      </c>
      <c r="F16" s="1">
        <v>27410433</v>
      </c>
      <c r="G16" s="1">
        <v>53124784</v>
      </c>
      <c r="H16" s="1">
        <v>92667000</v>
      </c>
      <c r="I16" s="1">
        <v>103780000</v>
      </c>
      <c r="J16" s="1">
        <v>124334000</v>
      </c>
      <c r="K16" s="1">
        <v>131290000</v>
      </c>
      <c r="L16" s="1">
        <v>145478000</v>
      </c>
      <c r="M16" s="1">
        <v>188342000</v>
      </c>
      <c r="N16" s="1">
        <v>179723000</v>
      </c>
      <c r="O16" s="1">
        <v>199479000</v>
      </c>
      <c r="P16" s="1">
        <v>214547000</v>
      </c>
      <c r="Q16" s="1">
        <v>255262000</v>
      </c>
      <c r="R16" s="1">
        <v>290997000</v>
      </c>
      <c r="S16" s="1">
        <v>334447000</v>
      </c>
      <c r="T16" s="1">
        <v>392262000</v>
      </c>
      <c r="U16" s="1">
        <v>466972000</v>
      </c>
      <c r="V16" s="1">
        <v>522895000</v>
      </c>
      <c r="W16" s="1">
        <v>677766000</v>
      </c>
      <c r="X16" s="1">
        <v>939156000</v>
      </c>
      <c r="Y16" s="1">
        <v>1259362000</v>
      </c>
      <c r="AE16" s="29">
        <f>(Y35+X35+W35+V35+U35)/5</f>
        <v>1.8937858118460126E-2</v>
      </c>
      <c r="AF16" s="30">
        <f>AG101/Y3</f>
        <v>12.207582652044312</v>
      </c>
      <c r="AG16" s="30">
        <f>AG101/Y28</f>
        <v>50.04252042625528</v>
      </c>
      <c r="AH16" s="31">
        <f>AG101/Y106</f>
        <v>116.60593831689125</v>
      </c>
    </row>
    <row r="17" spans="1:31" ht="19" x14ac:dyDescent="0.25">
      <c r="A17" s="5" t="s">
        <v>12</v>
      </c>
      <c r="B17" s="1" t="s">
        <v>92</v>
      </c>
      <c r="C17" s="1" t="s">
        <v>92</v>
      </c>
      <c r="D17" s="1" t="s">
        <v>92</v>
      </c>
      <c r="E17" s="1" t="s">
        <v>92</v>
      </c>
      <c r="F17" s="1" t="s">
        <v>92</v>
      </c>
      <c r="G17" s="1" t="s">
        <v>92</v>
      </c>
      <c r="H17" s="1" t="s">
        <v>92</v>
      </c>
      <c r="I17" s="1" t="s">
        <v>92</v>
      </c>
      <c r="J17" s="1" t="s">
        <v>92</v>
      </c>
      <c r="K17" s="1">
        <v>652000</v>
      </c>
      <c r="L17" s="1">
        <v>429000</v>
      </c>
      <c r="M17" s="1">
        <v>234000</v>
      </c>
      <c r="N17" s="1">
        <v>362000</v>
      </c>
      <c r="O17" s="1" t="s">
        <v>92</v>
      </c>
      <c r="P17" s="1" t="s">
        <v>92</v>
      </c>
      <c r="Q17" s="1" t="s">
        <v>92</v>
      </c>
      <c r="R17" s="1" t="s">
        <v>92</v>
      </c>
      <c r="S17" s="1" t="s">
        <v>92</v>
      </c>
      <c r="T17" s="1" t="s">
        <v>92</v>
      </c>
      <c r="U17" s="1" t="s">
        <v>92</v>
      </c>
      <c r="V17" s="1">
        <v>7305000</v>
      </c>
      <c r="W17" s="1">
        <v>9327000</v>
      </c>
      <c r="X17" s="1">
        <v>11637000</v>
      </c>
      <c r="Y17" s="1">
        <v>14369000</v>
      </c>
    </row>
    <row r="18" spans="1:31" ht="20" x14ac:dyDescent="0.25">
      <c r="A18" s="5" t="s">
        <v>13</v>
      </c>
      <c r="B18" s="1" t="s">
        <v>92</v>
      </c>
      <c r="C18" s="1" t="s">
        <v>92</v>
      </c>
      <c r="D18" s="1">
        <v>300000</v>
      </c>
      <c r="E18" s="1">
        <v>809105</v>
      </c>
      <c r="F18" s="1">
        <v>4074371</v>
      </c>
      <c r="G18" s="1">
        <v>13455436</v>
      </c>
      <c r="H18" s="1">
        <v>7103000</v>
      </c>
      <c r="I18" s="1">
        <v>14248000</v>
      </c>
      <c r="J18" s="1">
        <v>4184000</v>
      </c>
      <c r="K18" s="1">
        <v>5725000</v>
      </c>
      <c r="L18" s="1">
        <v>6573000</v>
      </c>
      <c r="M18" s="1">
        <v>8016000</v>
      </c>
      <c r="N18" s="1">
        <v>8732000</v>
      </c>
      <c r="O18" s="1">
        <v>9332000</v>
      </c>
      <c r="P18" s="1">
        <v>12160000</v>
      </c>
      <c r="Q18" s="1">
        <v>13130000</v>
      </c>
      <c r="R18" s="1">
        <v>13783000</v>
      </c>
      <c r="S18" s="1">
        <v>14674000</v>
      </c>
      <c r="T18" s="1">
        <v>16101000</v>
      </c>
      <c r="U18" s="1">
        <v>12311000</v>
      </c>
      <c r="V18" s="1">
        <v>14867000</v>
      </c>
      <c r="W18" s="1">
        <v>19186000</v>
      </c>
      <c r="X18" s="1">
        <v>28699000</v>
      </c>
      <c r="Y18" s="1">
        <v>37144000</v>
      </c>
      <c r="AE18" s="18" t="s">
        <v>125</v>
      </c>
    </row>
    <row r="19" spans="1:31" ht="19" x14ac:dyDescent="0.25">
      <c r="A19" s="6" t="s">
        <v>14</v>
      </c>
      <c r="B19" s="10">
        <v>-1300000</v>
      </c>
      <c r="C19" s="10">
        <v>-1603000</v>
      </c>
      <c r="D19" s="10">
        <v>-3272603</v>
      </c>
      <c r="E19" s="10">
        <v>-2428423</v>
      </c>
      <c r="F19" s="10">
        <v>1038161</v>
      </c>
      <c r="G19" s="10">
        <v>8003411</v>
      </c>
      <c r="H19" s="10">
        <v>15159000</v>
      </c>
      <c r="I19" s="10">
        <v>17847000</v>
      </c>
      <c r="J19" s="10">
        <v>18456000</v>
      </c>
      <c r="K19" s="10">
        <v>31819000</v>
      </c>
      <c r="L19" s="10">
        <v>27150000</v>
      </c>
      <c r="M19" s="10">
        <v>39670000</v>
      </c>
      <c r="N19" s="10">
        <v>22820000</v>
      </c>
      <c r="O19" s="10">
        <v>27222000</v>
      </c>
      <c r="P19" s="10">
        <v>36167000</v>
      </c>
      <c r="Q19" s="10">
        <v>49522000</v>
      </c>
      <c r="R19" s="10">
        <v>56274000</v>
      </c>
      <c r="S19" s="10">
        <v>71938000</v>
      </c>
      <c r="T19" s="10">
        <v>99045000</v>
      </c>
      <c r="U19" s="10">
        <v>130793000</v>
      </c>
      <c r="V19" s="10">
        <v>135292000</v>
      </c>
      <c r="W19" s="10">
        <v>197855000</v>
      </c>
      <c r="X19" s="10">
        <v>312555000</v>
      </c>
      <c r="Y19" s="10">
        <v>524937000</v>
      </c>
      <c r="AE19" s="32">
        <f>Y40-Y56-Y61</f>
        <v>737873000</v>
      </c>
    </row>
    <row r="20" spans="1:31" ht="19" customHeight="1" x14ac:dyDescent="0.25">
      <c r="A20" s="14" t="s">
        <v>101</v>
      </c>
      <c r="B20" s="1"/>
      <c r="C20" s="15">
        <f>(C19/B19)-1</f>
        <v>0.23307692307692318</v>
      </c>
      <c r="D20" s="15">
        <f>(D19/C19)-1</f>
        <v>1.0415489706799752</v>
      </c>
      <c r="E20" s="15">
        <f>(E19/D19)-1</f>
        <v>-0.25795368396349938</v>
      </c>
      <c r="F20" s="15">
        <f t="shared" ref="F20:Y20" si="3">(F19/E19)-1</f>
        <v>-1.427504186873539</v>
      </c>
      <c r="G20" s="15">
        <f t="shared" si="3"/>
        <v>6.7092194755919365</v>
      </c>
      <c r="H20" s="15">
        <f t="shared" si="3"/>
        <v>0.89406741700507442</v>
      </c>
      <c r="I20" s="15">
        <f t="shared" si="3"/>
        <v>0.17732040372056201</v>
      </c>
      <c r="J20" s="15">
        <f t="shared" si="3"/>
        <v>3.4123382081022058E-2</v>
      </c>
      <c r="K20" s="15">
        <f t="shared" si="3"/>
        <v>0.72404638058084081</v>
      </c>
      <c r="L20" s="15">
        <f t="shared" si="3"/>
        <v>-0.1467362267827399</v>
      </c>
      <c r="M20" s="15">
        <f t="shared" si="3"/>
        <v>0.46114180478821365</v>
      </c>
      <c r="N20" s="15">
        <f t="shared" si="3"/>
        <v>-0.42475422233425764</v>
      </c>
      <c r="O20" s="15">
        <f t="shared" si="3"/>
        <v>0.19290096406660817</v>
      </c>
      <c r="P20" s="15">
        <f t="shared" si="3"/>
        <v>0.32859451913893167</v>
      </c>
      <c r="Q20" s="15">
        <f t="shared" si="3"/>
        <v>0.36925926949982024</v>
      </c>
      <c r="R20" s="15">
        <f t="shared" si="3"/>
        <v>0.1363434433181212</v>
      </c>
      <c r="S20" s="15">
        <f t="shared" si="3"/>
        <v>0.27835234744286885</v>
      </c>
      <c r="T20" s="15">
        <f t="shared" si="3"/>
        <v>0.37681058689427016</v>
      </c>
      <c r="U20" s="15">
        <f t="shared" si="3"/>
        <v>0.32054116815588873</v>
      </c>
      <c r="V20" s="15">
        <f t="shared" si="3"/>
        <v>3.4397865329184318E-2</v>
      </c>
      <c r="W20" s="15">
        <f t="shared" si="3"/>
        <v>0.46242941193862164</v>
      </c>
      <c r="X20" s="15">
        <f t="shared" si="3"/>
        <v>0.57971746986429462</v>
      </c>
      <c r="Y20" s="15">
        <f t="shared" si="3"/>
        <v>0.67950280750587888</v>
      </c>
    </row>
    <row r="21" spans="1:31" ht="19" x14ac:dyDescent="0.25">
      <c r="A21" s="5" t="s">
        <v>15</v>
      </c>
      <c r="B21" s="2">
        <v>-2.1667000000000001</v>
      </c>
      <c r="C21" s="2">
        <v>-0.30520000000000003</v>
      </c>
      <c r="D21" s="2">
        <v>-0.40250000000000002</v>
      </c>
      <c r="E21" s="2">
        <v>-0.19900000000000001</v>
      </c>
      <c r="F21" s="2">
        <v>4.2900000000000001E-2</v>
      </c>
      <c r="G21" s="2">
        <v>0.16819999999999999</v>
      </c>
      <c r="H21" s="2">
        <v>0.15290000000000001</v>
      </c>
      <c r="I21" s="2">
        <v>0.1699</v>
      </c>
      <c r="J21" s="2">
        <v>0.13769999999999999</v>
      </c>
      <c r="K21" s="2">
        <v>0.19819999999999999</v>
      </c>
      <c r="L21" s="2">
        <v>0.16450000000000001</v>
      </c>
      <c r="M21" s="2">
        <v>0.18129999999999999</v>
      </c>
      <c r="N21" s="2">
        <v>0.11609999999999999</v>
      </c>
      <c r="O21" s="2">
        <v>0.1273</v>
      </c>
      <c r="P21" s="2">
        <v>0.15190000000000001</v>
      </c>
      <c r="Q21" s="2">
        <v>0.17530000000000001</v>
      </c>
      <c r="R21" s="2">
        <v>0.16900000000000001</v>
      </c>
      <c r="S21" s="2">
        <v>0.18509999999999999</v>
      </c>
      <c r="T21" s="2">
        <v>0.21029999999999999</v>
      </c>
      <c r="U21" s="2">
        <v>0.22459999999999999</v>
      </c>
      <c r="V21" s="2">
        <v>0.2155</v>
      </c>
      <c r="W21" s="2">
        <v>0.23430000000000001</v>
      </c>
      <c r="X21" s="2">
        <v>0.25879999999999997</v>
      </c>
      <c r="Y21" s="2">
        <v>0.29260000000000003</v>
      </c>
    </row>
    <row r="22" spans="1:31" ht="19" x14ac:dyDescent="0.25">
      <c r="A22" s="6" t="s">
        <v>16</v>
      </c>
      <c r="B22" s="10">
        <v>-1300000</v>
      </c>
      <c r="C22" s="10">
        <v>-1632000</v>
      </c>
      <c r="D22" s="10">
        <v>-3400775</v>
      </c>
      <c r="E22" s="10">
        <v>-3294679</v>
      </c>
      <c r="F22" s="10">
        <v>-3206102</v>
      </c>
      <c r="G22" s="10">
        <v>-5529745</v>
      </c>
      <c r="H22" s="10">
        <v>6464000</v>
      </c>
      <c r="I22" s="10">
        <v>1235000</v>
      </c>
      <c r="J22" s="10">
        <v>9670000</v>
      </c>
      <c r="K22" s="10">
        <v>22507000</v>
      </c>
      <c r="L22" s="10">
        <v>19530000</v>
      </c>
      <c r="M22" s="10">
        <v>30498000</v>
      </c>
      <c r="N22" s="10">
        <v>13417000</v>
      </c>
      <c r="O22" s="10">
        <v>17279000</v>
      </c>
      <c r="P22" s="10">
        <v>23915000</v>
      </c>
      <c r="Q22" s="10">
        <v>35300000</v>
      </c>
      <c r="R22" s="10">
        <v>41070000</v>
      </c>
      <c r="S22" s="10">
        <v>54447000</v>
      </c>
      <c r="T22" s="10">
        <v>77424000</v>
      </c>
      <c r="U22" s="10">
        <v>113488000</v>
      </c>
      <c r="V22" s="10">
        <v>102562000</v>
      </c>
      <c r="W22" s="10">
        <v>158882000</v>
      </c>
      <c r="X22" s="10">
        <v>262417000</v>
      </c>
      <c r="Y22" s="10">
        <v>534786000</v>
      </c>
    </row>
    <row r="23" spans="1:31" ht="19" x14ac:dyDescent="0.25">
      <c r="A23" s="5" t="s">
        <v>17</v>
      </c>
      <c r="B23" s="2">
        <v>-2.1667000000000001</v>
      </c>
      <c r="C23" s="2">
        <v>-0.31069999999999998</v>
      </c>
      <c r="D23" s="2">
        <v>-0.41830000000000001</v>
      </c>
      <c r="E23" s="2">
        <v>-0.26989999999999997</v>
      </c>
      <c r="F23" s="2">
        <v>-0.13250000000000001</v>
      </c>
      <c r="G23" s="2">
        <v>-0.1162</v>
      </c>
      <c r="H23" s="2">
        <v>6.5199999999999994E-2</v>
      </c>
      <c r="I23" s="2">
        <v>1.18E-2</v>
      </c>
      <c r="J23" s="2">
        <v>7.22E-2</v>
      </c>
      <c r="K23" s="2">
        <v>0.14019999999999999</v>
      </c>
      <c r="L23" s="2">
        <v>0.11840000000000001</v>
      </c>
      <c r="M23" s="2">
        <v>0.1394</v>
      </c>
      <c r="N23" s="2">
        <v>6.83E-2</v>
      </c>
      <c r="O23" s="2">
        <v>8.0799999999999997E-2</v>
      </c>
      <c r="P23" s="2">
        <v>0.1004</v>
      </c>
      <c r="Q23" s="2">
        <v>0.1249</v>
      </c>
      <c r="R23" s="2">
        <v>0.12330000000000001</v>
      </c>
      <c r="S23" s="2">
        <v>0.1401</v>
      </c>
      <c r="T23" s="2">
        <v>0.16439999999999999</v>
      </c>
      <c r="U23" s="2">
        <v>0.19489999999999999</v>
      </c>
      <c r="V23" s="2">
        <v>0.1633</v>
      </c>
      <c r="W23" s="2">
        <v>0.18809999999999999</v>
      </c>
      <c r="X23" s="2">
        <v>0.21729999999999999</v>
      </c>
      <c r="Y23" s="2">
        <v>0.29809999999999998</v>
      </c>
    </row>
    <row r="24" spans="1:31" ht="19" x14ac:dyDescent="0.25">
      <c r="A24" s="5" t="s">
        <v>18</v>
      </c>
      <c r="B24" s="1" t="s">
        <v>92</v>
      </c>
      <c r="C24" s="1">
        <v>29000</v>
      </c>
      <c r="D24" s="1" t="s">
        <v>92</v>
      </c>
      <c r="E24" s="1" t="s">
        <v>92</v>
      </c>
      <c r="F24" s="1" t="s">
        <v>92</v>
      </c>
      <c r="G24" s="1">
        <v>77720</v>
      </c>
      <c r="H24" s="1">
        <v>1592000</v>
      </c>
      <c r="I24" s="1">
        <v>2364000</v>
      </c>
      <c r="J24" s="1">
        <v>4602000</v>
      </c>
      <c r="K24" s="1">
        <v>2935000</v>
      </c>
      <c r="L24" s="1">
        <v>618000</v>
      </c>
      <c r="M24" s="1">
        <v>922000</v>
      </c>
      <c r="N24" s="1">
        <v>309000</v>
      </c>
      <c r="O24" s="1">
        <v>611000</v>
      </c>
      <c r="P24" s="1">
        <v>92000</v>
      </c>
      <c r="Q24" s="1">
        <v>1092000</v>
      </c>
      <c r="R24" s="1">
        <v>1421000</v>
      </c>
      <c r="S24" s="1">
        <v>2817000</v>
      </c>
      <c r="T24" s="1">
        <v>5520000</v>
      </c>
      <c r="U24" s="1">
        <v>4994000</v>
      </c>
      <c r="V24" s="1">
        <v>10558000</v>
      </c>
      <c r="W24" s="1">
        <v>10460000</v>
      </c>
      <c r="X24" s="1">
        <v>9802000</v>
      </c>
      <c r="Y24" s="1">
        <v>-9849000</v>
      </c>
    </row>
    <row r="25" spans="1:31" ht="19" x14ac:dyDescent="0.25">
      <c r="A25" s="6" t="s">
        <v>19</v>
      </c>
      <c r="B25" s="10">
        <v>-1300000</v>
      </c>
      <c r="C25" s="10">
        <v>-1603000</v>
      </c>
      <c r="D25" s="10" t="s">
        <v>92</v>
      </c>
      <c r="E25" s="10" t="s">
        <v>92</v>
      </c>
      <c r="F25" s="10" t="s">
        <v>92</v>
      </c>
      <c r="G25" s="10">
        <v>-5452025</v>
      </c>
      <c r="H25" s="10">
        <v>8056000</v>
      </c>
      <c r="I25" s="10">
        <v>3599000</v>
      </c>
      <c r="J25" s="10">
        <v>14272000</v>
      </c>
      <c r="K25" s="10">
        <v>25442000</v>
      </c>
      <c r="L25" s="10">
        <v>20148000</v>
      </c>
      <c r="M25" s="10">
        <v>31420000</v>
      </c>
      <c r="N25" s="10">
        <v>13726000</v>
      </c>
      <c r="O25" s="10">
        <v>17890000</v>
      </c>
      <c r="P25" s="10">
        <v>24007000</v>
      </c>
      <c r="Q25" s="10">
        <v>36392000</v>
      </c>
      <c r="R25" s="10">
        <v>42491000</v>
      </c>
      <c r="S25" s="10">
        <v>57264000</v>
      </c>
      <c r="T25" s="10">
        <v>82944000</v>
      </c>
      <c r="U25" s="10">
        <v>118482000</v>
      </c>
      <c r="V25" s="10">
        <v>113120000</v>
      </c>
      <c r="W25" s="10">
        <v>169342000</v>
      </c>
      <c r="X25" s="10">
        <v>272219000</v>
      </c>
      <c r="Y25" s="10">
        <v>524937000</v>
      </c>
    </row>
    <row r="26" spans="1:31" ht="19" x14ac:dyDescent="0.25">
      <c r="A26" s="5" t="s">
        <v>20</v>
      </c>
      <c r="B26" s="2">
        <v>-2.1667000000000001</v>
      </c>
      <c r="C26" s="2">
        <v>-0.30520000000000003</v>
      </c>
      <c r="D26" s="2" t="s">
        <v>92</v>
      </c>
      <c r="E26" s="2" t="s">
        <v>92</v>
      </c>
      <c r="F26" s="2" t="s">
        <v>92</v>
      </c>
      <c r="G26" s="2">
        <v>-0.11459999999999999</v>
      </c>
      <c r="H26" s="2">
        <v>8.1299999999999997E-2</v>
      </c>
      <c r="I26" s="2">
        <v>3.4299999999999997E-2</v>
      </c>
      <c r="J26" s="2">
        <v>0.1065</v>
      </c>
      <c r="K26" s="2">
        <v>0.1585</v>
      </c>
      <c r="L26" s="2">
        <v>0.1221</v>
      </c>
      <c r="M26" s="2">
        <v>0.14360000000000001</v>
      </c>
      <c r="N26" s="2">
        <v>6.9800000000000001E-2</v>
      </c>
      <c r="O26" s="2">
        <v>8.3699999999999997E-2</v>
      </c>
      <c r="P26" s="2">
        <v>0.1008</v>
      </c>
      <c r="Q26" s="2">
        <v>0.1288</v>
      </c>
      <c r="R26" s="2">
        <v>0.12759999999999999</v>
      </c>
      <c r="S26" s="2">
        <v>0.14729999999999999</v>
      </c>
      <c r="T26" s="2">
        <v>0.17610000000000001</v>
      </c>
      <c r="U26" s="2">
        <v>0.2034</v>
      </c>
      <c r="V26" s="2">
        <v>0.1802</v>
      </c>
      <c r="W26" s="2">
        <v>0.20050000000000001</v>
      </c>
      <c r="X26" s="2">
        <v>0.22539999999999999</v>
      </c>
      <c r="Y26" s="2">
        <v>0.29260000000000003</v>
      </c>
    </row>
    <row r="27" spans="1:31" ht="19" x14ac:dyDescent="0.25">
      <c r="A27" s="5" t="s">
        <v>21</v>
      </c>
      <c r="B27" s="1" t="s">
        <v>92</v>
      </c>
      <c r="C27" s="1" t="s">
        <v>92</v>
      </c>
      <c r="D27" s="1" t="s">
        <v>92</v>
      </c>
      <c r="E27" s="1" t="s">
        <v>92</v>
      </c>
      <c r="F27" s="1" t="s">
        <v>92</v>
      </c>
      <c r="G27" s="1">
        <v>-1001000</v>
      </c>
      <c r="H27" s="1">
        <v>2949000</v>
      </c>
      <c r="I27" s="1">
        <v>6462000</v>
      </c>
      <c r="J27" s="1">
        <v>4981000</v>
      </c>
      <c r="K27" s="1">
        <v>1216000</v>
      </c>
      <c r="L27" s="1">
        <v>474000</v>
      </c>
      <c r="M27" s="1">
        <v>1857000</v>
      </c>
      <c r="N27" s="1">
        <v>425000</v>
      </c>
      <c r="O27" s="1">
        <v>2134000</v>
      </c>
      <c r="P27" s="1">
        <v>1109000</v>
      </c>
      <c r="Q27" s="1">
        <v>897000</v>
      </c>
      <c r="R27" s="1">
        <v>7319000</v>
      </c>
      <c r="S27" s="1">
        <v>4544000</v>
      </c>
      <c r="T27" s="1">
        <v>17741000</v>
      </c>
      <c r="U27" s="1">
        <v>13214000</v>
      </c>
      <c r="V27" s="1">
        <v>4281000</v>
      </c>
      <c r="W27" s="1">
        <v>4967000</v>
      </c>
      <c r="X27" s="1">
        <v>30196000</v>
      </c>
      <c r="Y27" s="1">
        <v>87265000</v>
      </c>
    </row>
    <row r="28" spans="1:31" ht="20" thickBot="1" x14ac:dyDescent="0.3">
      <c r="A28" s="7" t="s">
        <v>22</v>
      </c>
      <c r="B28" s="11">
        <v>-1300000</v>
      </c>
      <c r="C28" s="11">
        <v>-1603000</v>
      </c>
      <c r="D28" s="11">
        <v>-3572603</v>
      </c>
      <c r="E28" s="11">
        <v>-3237528</v>
      </c>
      <c r="F28" s="11">
        <v>-3036210</v>
      </c>
      <c r="G28" s="11">
        <v>-4451025</v>
      </c>
      <c r="H28" s="11">
        <v>5107000</v>
      </c>
      <c r="I28" s="11">
        <v>-2863000</v>
      </c>
      <c r="J28" s="11">
        <v>9291000</v>
      </c>
      <c r="K28" s="11">
        <v>24226000</v>
      </c>
      <c r="L28" s="11">
        <v>19674000</v>
      </c>
      <c r="M28" s="11">
        <v>29563000</v>
      </c>
      <c r="N28" s="11">
        <v>13301000</v>
      </c>
      <c r="O28" s="11">
        <v>15756000</v>
      </c>
      <c r="P28" s="11">
        <v>22898000</v>
      </c>
      <c r="Q28" s="11">
        <v>35495000</v>
      </c>
      <c r="R28" s="11">
        <v>35172000</v>
      </c>
      <c r="S28" s="11">
        <v>52720000</v>
      </c>
      <c r="T28" s="11">
        <v>65203000</v>
      </c>
      <c r="U28" s="11">
        <v>105268000</v>
      </c>
      <c r="V28" s="11">
        <v>108839000</v>
      </c>
      <c r="W28" s="11">
        <v>164375000</v>
      </c>
      <c r="X28" s="11">
        <v>242023000</v>
      </c>
      <c r="Y28" s="11">
        <v>437672000</v>
      </c>
    </row>
    <row r="29" spans="1:31" ht="20" customHeight="1" thickTop="1" x14ac:dyDescent="0.25">
      <c r="A29" s="14" t="s">
        <v>102</v>
      </c>
      <c r="B29" s="1"/>
      <c r="C29" s="15">
        <f>(C28/B28)-1</f>
        <v>0.23307692307692318</v>
      </c>
      <c r="D29" s="15">
        <f>(D28/C28)-1</f>
        <v>1.2286980661260136</v>
      </c>
      <c r="E29" s="15">
        <f>(E28/D28)-1</f>
        <v>-9.3790158044428695E-2</v>
      </c>
      <c r="F29" s="15">
        <f t="shared" ref="F29:Y29" si="4">(F28/E28)-1</f>
        <v>-6.2182628227462455E-2</v>
      </c>
      <c r="G29" s="15">
        <f t="shared" si="4"/>
        <v>0.46598061398915092</v>
      </c>
      <c r="H29" s="15">
        <f t="shared" si="4"/>
        <v>-2.1473761661639736</v>
      </c>
      <c r="I29" s="15">
        <f t="shared" si="4"/>
        <v>-1.5606030937928335</v>
      </c>
      <c r="J29" s="15">
        <f t="shared" si="4"/>
        <v>-4.2451973454418441</v>
      </c>
      <c r="K29" s="15">
        <f t="shared" si="4"/>
        <v>1.607469594230976</v>
      </c>
      <c r="L29" s="15">
        <f t="shared" si="4"/>
        <v>-0.18789730042103525</v>
      </c>
      <c r="M29" s="15">
        <f t="shared" si="4"/>
        <v>0.50264308224052057</v>
      </c>
      <c r="N29" s="15">
        <f t="shared" si="4"/>
        <v>-0.55007949125596189</v>
      </c>
      <c r="O29" s="15">
        <f t="shared" si="4"/>
        <v>0.1845725885271785</v>
      </c>
      <c r="P29" s="15">
        <f t="shared" si="4"/>
        <v>0.45328763645595327</v>
      </c>
      <c r="Q29" s="15">
        <f t="shared" si="4"/>
        <v>0.55013538300288234</v>
      </c>
      <c r="R29" s="15">
        <f t="shared" si="4"/>
        <v>-9.0998732215804568E-3</v>
      </c>
      <c r="S29" s="15">
        <f t="shared" si="4"/>
        <v>0.49891959513249184</v>
      </c>
      <c r="T29" s="15">
        <f t="shared" si="4"/>
        <v>0.23677921092564502</v>
      </c>
      <c r="U29" s="15">
        <f t="shared" si="4"/>
        <v>0.61446559207398432</v>
      </c>
      <c r="V29" s="15">
        <f t="shared" si="4"/>
        <v>3.3922939544780872E-2</v>
      </c>
      <c r="W29" s="15">
        <f t="shared" si="4"/>
        <v>0.51025827139168856</v>
      </c>
      <c r="X29" s="15">
        <f t="shared" si="4"/>
        <v>0.47238326996197721</v>
      </c>
      <c r="Y29" s="15">
        <f t="shared" si="4"/>
        <v>0.80839011168360031</v>
      </c>
    </row>
    <row r="30" spans="1:31" ht="19" x14ac:dyDescent="0.25">
      <c r="A30" s="5" t="s">
        <v>23</v>
      </c>
      <c r="B30" s="2">
        <v>-2.1667000000000001</v>
      </c>
      <c r="C30" s="2">
        <v>-0.30520000000000003</v>
      </c>
      <c r="D30" s="2">
        <v>-0.43940000000000001</v>
      </c>
      <c r="E30" s="2">
        <v>-0.26519999999999999</v>
      </c>
      <c r="F30" s="2">
        <v>-0.12540000000000001</v>
      </c>
      <c r="G30" s="2">
        <v>-9.35E-2</v>
      </c>
      <c r="H30" s="2">
        <v>5.1499999999999997E-2</v>
      </c>
      <c r="I30" s="2">
        <v>-2.7300000000000001E-2</v>
      </c>
      <c r="J30" s="2">
        <v>6.93E-2</v>
      </c>
      <c r="K30" s="2">
        <v>0.15090000000000001</v>
      </c>
      <c r="L30" s="2">
        <v>0.1192</v>
      </c>
      <c r="M30" s="2">
        <v>0.1351</v>
      </c>
      <c r="N30" s="2">
        <v>6.7699999999999996E-2</v>
      </c>
      <c r="O30" s="2">
        <v>7.3700000000000002E-2</v>
      </c>
      <c r="P30" s="2">
        <v>9.6199999999999994E-2</v>
      </c>
      <c r="Q30" s="2">
        <v>0.12559999999999999</v>
      </c>
      <c r="R30" s="2">
        <v>0.1056</v>
      </c>
      <c r="S30" s="2">
        <v>0.1356</v>
      </c>
      <c r="T30" s="2">
        <v>0.13850000000000001</v>
      </c>
      <c r="U30" s="2">
        <v>0.18079999999999999</v>
      </c>
      <c r="V30" s="2">
        <v>0.17330000000000001</v>
      </c>
      <c r="W30" s="2">
        <v>0.19470000000000001</v>
      </c>
      <c r="X30" s="2">
        <v>0.20039999999999999</v>
      </c>
      <c r="Y30" s="2">
        <v>0.24390000000000001</v>
      </c>
    </row>
    <row r="31" spans="1:31" ht="19" x14ac:dyDescent="0.25">
      <c r="A31" s="5" t="s">
        <v>24</v>
      </c>
      <c r="B31" s="12">
        <v>-0.28000000000000003</v>
      </c>
      <c r="C31" s="12">
        <v>-0.33</v>
      </c>
      <c r="D31" s="12">
        <v>-0.63</v>
      </c>
      <c r="E31" s="12">
        <v>-0.63</v>
      </c>
      <c r="F31" s="12">
        <v>-0.49</v>
      </c>
      <c r="G31" s="12">
        <v>-0.62</v>
      </c>
      <c r="H31" s="12">
        <v>0.18</v>
      </c>
      <c r="I31" s="12">
        <v>-0.1</v>
      </c>
      <c r="J31" s="12">
        <v>0.28999999999999998</v>
      </c>
      <c r="K31" s="12">
        <v>0.72</v>
      </c>
      <c r="L31" s="12">
        <v>0.56999999999999995</v>
      </c>
      <c r="M31" s="12">
        <v>0.83</v>
      </c>
      <c r="N31" s="12">
        <v>0.39</v>
      </c>
      <c r="O31" s="12">
        <v>0.45</v>
      </c>
      <c r="P31" s="12">
        <v>0.61</v>
      </c>
      <c r="Q31" s="12">
        <v>0.92</v>
      </c>
      <c r="R31" s="12">
        <v>0.89</v>
      </c>
      <c r="S31" s="12">
        <v>1.3</v>
      </c>
      <c r="T31" s="12">
        <v>1.58</v>
      </c>
      <c r="U31" s="12">
        <v>2.4900000000000002</v>
      </c>
      <c r="V31" s="12">
        <v>2.52</v>
      </c>
      <c r="W31" s="12">
        <v>3.67</v>
      </c>
      <c r="X31" s="12">
        <v>5.26</v>
      </c>
      <c r="Y31" s="12">
        <v>9.52</v>
      </c>
    </row>
    <row r="32" spans="1:31" ht="19" x14ac:dyDescent="0.25">
      <c r="A32" s="5" t="s">
        <v>25</v>
      </c>
      <c r="B32" s="12">
        <v>-0.28000000000000003</v>
      </c>
      <c r="C32" s="12">
        <v>-0.33</v>
      </c>
      <c r="D32" s="12">
        <v>-0.63</v>
      </c>
      <c r="E32" s="12">
        <v>-0.63</v>
      </c>
      <c r="F32" s="12">
        <v>-0.49</v>
      </c>
      <c r="G32" s="12">
        <v>-0.62</v>
      </c>
      <c r="H32" s="12">
        <v>0.17</v>
      </c>
      <c r="I32" s="12">
        <v>-0.1</v>
      </c>
      <c r="J32" s="12">
        <v>0.26</v>
      </c>
      <c r="K32" s="12">
        <v>0.67</v>
      </c>
      <c r="L32" s="12">
        <v>0.54</v>
      </c>
      <c r="M32" s="12">
        <v>0.78</v>
      </c>
      <c r="N32" s="12">
        <v>0.38</v>
      </c>
      <c r="O32" s="12">
        <v>0.43</v>
      </c>
      <c r="P32" s="12">
        <v>0.59</v>
      </c>
      <c r="Q32" s="12">
        <v>0.89</v>
      </c>
      <c r="R32" s="12">
        <v>0.86</v>
      </c>
      <c r="S32" s="12">
        <v>1.26</v>
      </c>
      <c r="T32" s="12">
        <v>1.5</v>
      </c>
      <c r="U32" s="12">
        <v>2.36</v>
      </c>
      <c r="V32" s="12">
        <v>2.38</v>
      </c>
      <c r="W32" s="12">
        <v>3.5</v>
      </c>
      <c r="X32" s="12">
        <v>5.0599999999999996</v>
      </c>
      <c r="Y32" s="12">
        <v>9.15</v>
      </c>
    </row>
    <row r="33" spans="1:25" ht="19" x14ac:dyDescent="0.25">
      <c r="A33" s="5" t="s">
        <v>26</v>
      </c>
      <c r="B33" s="1">
        <v>4700000</v>
      </c>
      <c r="C33" s="1">
        <v>4846000</v>
      </c>
      <c r="D33" s="1">
        <v>5681787</v>
      </c>
      <c r="E33" s="1">
        <v>5862814</v>
      </c>
      <c r="F33" s="1">
        <v>6143463</v>
      </c>
      <c r="G33" s="1">
        <v>9132030</v>
      </c>
      <c r="H33" s="1">
        <v>27998000</v>
      </c>
      <c r="I33" s="1">
        <v>29502000</v>
      </c>
      <c r="J33" s="1">
        <v>31703000</v>
      </c>
      <c r="K33" s="1">
        <v>33509000</v>
      </c>
      <c r="L33" s="1">
        <v>34310000</v>
      </c>
      <c r="M33" s="1">
        <v>35830000</v>
      </c>
      <c r="N33" s="1">
        <v>34050000</v>
      </c>
      <c r="O33" s="1">
        <v>34871000</v>
      </c>
      <c r="P33" s="1">
        <v>37387000</v>
      </c>
      <c r="Q33" s="1">
        <v>38686000</v>
      </c>
      <c r="R33" s="1">
        <v>39470000</v>
      </c>
      <c r="S33" s="1">
        <v>40436000</v>
      </c>
      <c r="T33" s="1">
        <v>41350000</v>
      </c>
      <c r="U33" s="1">
        <v>42247000</v>
      </c>
      <c r="V33" s="1">
        <v>43165000</v>
      </c>
      <c r="W33" s="1">
        <v>44840000</v>
      </c>
      <c r="X33" s="1">
        <v>45970000</v>
      </c>
      <c r="Y33" s="1">
        <v>45970000</v>
      </c>
    </row>
    <row r="34" spans="1:25" ht="19" x14ac:dyDescent="0.25">
      <c r="A34" s="5" t="s">
        <v>27</v>
      </c>
      <c r="B34" s="1">
        <v>4700000</v>
      </c>
      <c r="C34" s="1">
        <v>4846000</v>
      </c>
      <c r="D34" s="1">
        <v>5681787</v>
      </c>
      <c r="E34" s="1">
        <v>5862814</v>
      </c>
      <c r="F34" s="1">
        <v>6143463</v>
      </c>
      <c r="G34" s="1">
        <v>9132030</v>
      </c>
      <c r="H34" s="1">
        <v>30871000</v>
      </c>
      <c r="I34" s="1">
        <v>29502000</v>
      </c>
      <c r="J34" s="1">
        <v>35090000</v>
      </c>
      <c r="K34" s="1">
        <v>36120000</v>
      </c>
      <c r="L34" s="1">
        <v>36634000</v>
      </c>
      <c r="M34" s="1">
        <v>37826000</v>
      </c>
      <c r="N34" s="1">
        <v>35160000</v>
      </c>
      <c r="O34" s="1">
        <v>36247000</v>
      </c>
      <c r="P34" s="1">
        <v>38620000</v>
      </c>
      <c r="Q34" s="1">
        <v>39793000</v>
      </c>
      <c r="R34" s="1">
        <v>40869000</v>
      </c>
      <c r="S34" s="1">
        <v>41915000</v>
      </c>
      <c r="T34" s="1">
        <v>43578000</v>
      </c>
      <c r="U34" s="1">
        <v>44602000</v>
      </c>
      <c r="V34" s="1">
        <v>45763000</v>
      </c>
      <c r="W34" s="1">
        <v>47014000</v>
      </c>
      <c r="X34" s="1">
        <v>47852000</v>
      </c>
      <c r="Y34" s="1">
        <v>47852000</v>
      </c>
    </row>
    <row r="35" spans="1:25" ht="20" customHeight="1" x14ac:dyDescent="0.25">
      <c r="A35" s="14" t="s">
        <v>103</v>
      </c>
      <c r="B35" s="1"/>
      <c r="C35" s="22">
        <f>(C34-B34)/B34</f>
        <v>3.1063829787234043E-2</v>
      </c>
      <c r="D35" s="22">
        <f t="shared" ref="D35:Y35" si="5">(D34-C34)/C34</f>
        <v>0.1724694593479158</v>
      </c>
      <c r="E35" s="22">
        <f t="shared" si="5"/>
        <v>3.186092685276657E-2</v>
      </c>
      <c r="F35" s="22">
        <f t="shared" si="5"/>
        <v>4.7869333736325251E-2</v>
      </c>
      <c r="G35" s="22">
        <f t="shared" si="5"/>
        <v>0.48646292815631836</v>
      </c>
      <c r="H35" s="22">
        <f t="shared" si="5"/>
        <v>2.3805188988647652</v>
      </c>
      <c r="I35" s="22">
        <f t="shared" si="5"/>
        <v>-4.4345826179909946E-2</v>
      </c>
      <c r="J35" s="22">
        <f t="shared" si="5"/>
        <v>0.18941088739746459</v>
      </c>
      <c r="K35" s="22">
        <f t="shared" si="5"/>
        <v>2.9353092049016812E-2</v>
      </c>
      <c r="L35" s="22">
        <f t="shared" si="5"/>
        <v>1.4230343300110741E-2</v>
      </c>
      <c r="M35" s="22">
        <f t="shared" si="5"/>
        <v>3.2538079379811104E-2</v>
      </c>
      <c r="N35" s="22">
        <f t="shared" si="5"/>
        <v>-7.0480621794532863E-2</v>
      </c>
      <c r="O35" s="22">
        <f t="shared" si="5"/>
        <v>3.0915813424345847E-2</v>
      </c>
      <c r="P35" s="22">
        <f t="shared" si="5"/>
        <v>6.5467486964438437E-2</v>
      </c>
      <c r="Q35" s="22">
        <f t="shared" si="5"/>
        <v>3.0372863801139308E-2</v>
      </c>
      <c r="R35" s="22">
        <f t="shared" si="5"/>
        <v>2.7039931646269444E-2</v>
      </c>
      <c r="S35" s="22">
        <f t="shared" si="5"/>
        <v>2.5593970980449729E-2</v>
      </c>
      <c r="T35" s="22">
        <f t="shared" si="5"/>
        <v>3.9675533818442084E-2</v>
      </c>
      <c r="U35" s="22">
        <f t="shared" si="5"/>
        <v>2.3498095369223003E-2</v>
      </c>
      <c r="V35" s="22">
        <f t="shared" si="5"/>
        <v>2.6030222859961438E-2</v>
      </c>
      <c r="W35" s="22">
        <f t="shared" si="5"/>
        <v>2.7336494547997289E-2</v>
      </c>
      <c r="X35" s="22">
        <f t="shared" si="5"/>
        <v>1.7824477815118901E-2</v>
      </c>
      <c r="Y35" s="22">
        <f t="shared" si="5"/>
        <v>0</v>
      </c>
    </row>
    <row r="36" spans="1:25"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row>
    <row r="37" spans="1:25"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row>
    <row r="38" spans="1:25" ht="19" x14ac:dyDescent="0.25">
      <c r="A38" s="5" t="s">
        <v>30</v>
      </c>
      <c r="B38" s="1" t="s">
        <v>92</v>
      </c>
      <c r="C38" s="1" t="s">
        <v>92</v>
      </c>
      <c r="D38" s="1">
        <v>904000</v>
      </c>
      <c r="E38" s="1">
        <v>17223494</v>
      </c>
      <c r="F38" s="1">
        <v>12135409</v>
      </c>
      <c r="G38" s="1">
        <v>32018593</v>
      </c>
      <c r="H38" s="1">
        <v>25091000</v>
      </c>
      <c r="I38" s="1">
        <v>50816000</v>
      </c>
      <c r="J38" s="1">
        <v>83114000</v>
      </c>
      <c r="K38" s="1">
        <v>83266000</v>
      </c>
      <c r="L38" s="1">
        <v>46717000</v>
      </c>
      <c r="M38" s="1">
        <v>48010000</v>
      </c>
      <c r="N38" s="1">
        <v>96371000</v>
      </c>
      <c r="O38" s="1">
        <v>75104000</v>
      </c>
      <c r="P38" s="1">
        <v>101213000</v>
      </c>
      <c r="Q38" s="1">
        <v>126266000</v>
      </c>
      <c r="R38" s="1">
        <v>90860000</v>
      </c>
      <c r="S38" s="1">
        <v>112703000</v>
      </c>
      <c r="T38" s="1">
        <v>82759000</v>
      </c>
      <c r="U38" s="1">
        <v>172704000</v>
      </c>
      <c r="V38" s="1">
        <v>172960000</v>
      </c>
      <c r="W38" s="1">
        <v>334944000</v>
      </c>
      <c r="X38" s="1">
        <v>189265000</v>
      </c>
      <c r="Y38" s="1">
        <v>288607000</v>
      </c>
    </row>
    <row r="39" spans="1:25" ht="19" x14ac:dyDescent="0.25">
      <c r="A39" s="5" t="s">
        <v>31</v>
      </c>
      <c r="B39" s="1" t="s">
        <v>92</v>
      </c>
      <c r="C39" s="1" t="s">
        <v>92</v>
      </c>
      <c r="D39" s="1" t="s">
        <v>92</v>
      </c>
      <c r="E39" s="1" t="s">
        <v>92</v>
      </c>
      <c r="F39" s="1">
        <v>1007190</v>
      </c>
      <c r="G39" s="1">
        <v>17000000</v>
      </c>
      <c r="H39" s="1">
        <v>38814000</v>
      </c>
      <c r="I39" s="1">
        <v>27674000</v>
      </c>
      <c r="J39" s="1">
        <v>27765000</v>
      </c>
      <c r="K39" s="1">
        <v>21922000</v>
      </c>
      <c r="L39" s="1">
        <v>118914000</v>
      </c>
      <c r="M39" s="1">
        <v>129709000</v>
      </c>
      <c r="N39" s="1">
        <v>77827000</v>
      </c>
      <c r="O39" s="1">
        <v>85521000</v>
      </c>
      <c r="P39" s="1">
        <v>125126000</v>
      </c>
      <c r="Q39" s="1">
        <v>112452000</v>
      </c>
      <c r="R39" s="1">
        <v>144103000</v>
      </c>
      <c r="S39" s="1">
        <v>155521000</v>
      </c>
      <c r="T39" s="1">
        <v>216331000</v>
      </c>
      <c r="U39" s="1">
        <v>204577000</v>
      </c>
      <c r="V39" s="1">
        <v>282437000</v>
      </c>
      <c r="W39" s="1">
        <v>260169000</v>
      </c>
      <c r="X39" s="1">
        <v>535817000</v>
      </c>
      <c r="Y39" s="1">
        <v>449266000</v>
      </c>
    </row>
    <row r="40" spans="1:25" ht="19" x14ac:dyDescent="0.25">
      <c r="A40" s="5" t="s">
        <v>32</v>
      </c>
      <c r="B40" s="1" t="s">
        <v>92</v>
      </c>
      <c r="C40" s="1" t="s">
        <v>92</v>
      </c>
      <c r="D40" s="1">
        <v>904000</v>
      </c>
      <c r="E40" s="1">
        <v>17223494</v>
      </c>
      <c r="F40" s="1">
        <v>13142599</v>
      </c>
      <c r="G40" s="1">
        <v>49018593</v>
      </c>
      <c r="H40" s="1">
        <v>63905000</v>
      </c>
      <c r="I40" s="1">
        <v>78490000</v>
      </c>
      <c r="J40" s="1">
        <v>110879000</v>
      </c>
      <c r="K40" s="1">
        <v>105188000</v>
      </c>
      <c r="L40" s="1">
        <v>165631000</v>
      </c>
      <c r="M40" s="1">
        <v>177719000</v>
      </c>
      <c r="N40" s="1">
        <v>174198000</v>
      </c>
      <c r="O40" s="1">
        <v>160625000</v>
      </c>
      <c r="P40" s="1">
        <v>226339000</v>
      </c>
      <c r="Q40" s="1">
        <v>238718000</v>
      </c>
      <c r="R40" s="1">
        <v>234963000</v>
      </c>
      <c r="S40" s="1">
        <v>268224000</v>
      </c>
      <c r="T40" s="1">
        <v>299090000</v>
      </c>
      <c r="U40" s="1">
        <v>377281000</v>
      </c>
      <c r="V40" s="1">
        <v>455397000</v>
      </c>
      <c r="W40" s="1">
        <v>595113000</v>
      </c>
      <c r="X40" s="1">
        <v>725082000</v>
      </c>
      <c r="Y40" s="1">
        <v>737873000</v>
      </c>
    </row>
    <row r="41" spans="1:25" ht="19" x14ac:dyDescent="0.25">
      <c r="A41" s="5" t="s">
        <v>33</v>
      </c>
      <c r="B41" s="1" t="s">
        <v>92</v>
      </c>
      <c r="C41" s="1" t="s">
        <v>92</v>
      </c>
      <c r="D41" s="1" t="s">
        <v>92</v>
      </c>
      <c r="E41" s="1">
        <v>1315033</v>
      </c>
      <c r="F41" s="1">
        <v>4566106</v>
      </c>
      <c r="G41" s="1">
        <v>3995662</v>
      </c>
      <c r="H41" s="1">
        <v>9537000</v>
      </c>
      <c r="I41" s="1">
        <v>9156000</v>
      </c>
      <c r="J41" s="1">
        <v>8239000</v>
      </c>
      <c r="K41" s="1">
        <v>9115000</v>
      </c>
      <c r="L41" s="1">
        <v>15521000</v>
      </c>
      <c r="M41" s="1">
        <v>18347000</v>
      </c>
      <c r="N41" s="1">
        <v>15097000</v>
      </c>
      <c r="O41" s="1">
        <v>19383000</v>
      </c>
      <c r="P41" s="1">
        <v>23730000</v>
      </c>
      <c r="Q41" s="1">
        <v>25630000</v>
      </c>
      <c r="R41" s="1">
        <v>30830000</v>
      </c>
      <c r="S41" s="1">
        <v>34248000</v>
      </c>
      <c r="T41" s="1">
        <v>40624000</v>
      </c>
      <c r="U41" s="1">
        <v>61375000</v>
      </c>
      <c r="V41" s="1">
        <v>61300000</v>
      </c>
      <c r="W41" s="1">
        <v>81261000</v>
      </c>
      <c r="X41" s="1">
        <v>126477000</v>
      </c>
      <c r="Y41" s="1">
        <v>182714000</v>
      </c>
    </row>
    <row r="42" spans="1:25" ht="19" x14ac:dyDescent="0.25">
      <c r="A42" s="5" t="s">
        <v>34</v>
      </c>
      <c r="B42" s="1" t="s">
        <v>92</v>
      </c>
      <c r="C42" s="1" t="s">
        <v>92</v>
      </c>
      <c r="D42" s="1" t="s">
        <v>92</v>
      </c>
      <c r="E42" s="1">
        <v>1267092</v>
      </c>
      <c r="F42" s="1">
        <v>1598754</v>
      </c>
      <c r="G42" s="1">
        <v>5398418</v>
      </c>
      <c r="H42" s="1">
        <v>6165000</v>
      </c>
      <c r="I42" s="1">
        <v>6738000</v>
      </c>
      <c r="J42" s="1">
        <v>17487000</v>
      </c>
      <c r="K42" s="1">
        <v>18887000</v>
      </c>
      <c r="L42" s="1">
        <v>19616000</v>
      </c>
      <c r="M42" s="1">
        <v>25789000</v>
      </c>
      <c r="N42" s="1">
        <v>20104000</v>
      </c>
      <c r="O42" s="1">
        <v>32115000</v>
      </c>
      <c r="P42" s="1">
        <v>39737000</v>
      </c>
      <c r="Q42" s="1">
        <v>40918000</v>
      </c>
      <c r="R42" s="1">
        <v>63209000</v>
      </c>
      <c r="S42" s="1">
        <v>71469000</v>
      </c>
      <c r="T42" s="1">
        <v>99281000</v>
      </c>
      <c r="U42" s="1">
        <v>136384000</v>
      </c>
      <c r="V42" s="1">
        <v>127500000</v>
      </c>
      <c r="W42" s="1">
        <v>157062000</v>
      </c>
      <c r="X42" s="1">
        <v>259417000</v>
      </c>
      <c r="Y42" s="1">
        <v>447290000</v>
      </c>
    </row>
    <row r="43" spans="1:25" ht="19" x14ac:dyDescent="0.25">
      <c r="A43" s="5" t="s">
        <v>35</v>
      </c>
      <c r="B43" s="1" t="s">
        <v>92</v>
      </c>
      <c r="C43" s="1" t="s">
        <v>92</v>
      </c>
      <c r="D43" s="1" t="s">
        <v>92</v>
      </c>
      <c r="E43" s="1">
        <v>263858</v>
      </c>
      <c r="F43" s="1">
        <v>330013</v>
      </c>
      <c r="G43" s="1">
        <v>1922451</v>
      </c>
      <c r="H43" s="1">
        <v>8110000</v>
      </c>
      <c r="I43" s="1">
        <v>2776000</v>
      </c>
      <c r="J43" s="1">
        <v>12081000</v>
      </c>
      <c r="K43" s="1">
        <v>10057000</v>
      </c>
      <c r="L43" s="1">
        <v>2731000</v>
      </c>
      <c r="M43" s="1">
        <v>2518000</v>
      </c>
      <c r="N43" s="1">
        <v>2106000</v>
      </c>
      <c r="O43" s="1">
        <v>2178000</v>
      </c>
      <c r="P43" s="1">
        <v>2280000</v>
      </c>
      <c r="Q43" s="1">
        <v>2880000</v>
      </c>
      <c r="R43" s="1">
        <v>2926000</v>
      </c>
      <c r="S43" s="1">
        <v>9043000</v>
      </c>
      <c r="T43" s="1">
        <v>10175000</v>
      </c>
      <c r="U43" s="1">
        <v>5770000</v>
      </c>
      <c r="V43" s="1">
        <v>11009000</v>
      </c>
      <c r="W43" s="1">
        <v>8562000</v>
      </c>
      <c r="X43" s="1">
        <v>13876000</v>
      </c>
      <c r="Y43" s="1">
        <v>42742000</v>
      </c>
    </row>
    <row r="44" spans="1:25" ht="19" x14ac:dyDescent="0.25">
      <c r="A44" s="6" t="s">
        <v>36</v>
      </c>
      <c r="B44" s="10" t="s">
        <v>92</v>
      </c>
      <c r="C44" s="10" t="s">
        <v>92</v>
      </c>
      <c r="D44" s="10" t="s">
        <v>92</v>
      </c>
      <c r="E44" s="10">
        <v>20069477</v>
      </c>
      <c r="F44" s="10">
        <v>19637472</v>
      </c>
      <c r="G44" s="10">
        <v>60335124</v>
      </c>
      <c r="H44" s="10">
        <v>87717000</v>
      </c>
      <c r="I44" s="10">
        <v>97160000</v>
      </c>
      <c r="J44" s="10">
        <v>148686000</v>
      </c>
      <c r="K44" s="10">
        <v>143247000</v>
      </c>
      <c r="L44" s="10">
        <v>203499000</v>
      </c>
      <c r="M44" s="10">
        <v>224373000</v>
      </c>
      <c r="N44" s="10">
        <v>211505000</v>
      </c>
      <c r="O44" s="10">
        <v>214301000</v>
      </c>
      <c r="P44" s="10">
        <v>292086000</v>
      </c>
      <c r="Q44" s="10">
        <v>308146000</v>
      </c>
      <c r="R44" s="10">
        <v>331928000</v>
      </c>
      <c r="S44" s="10">
        <v>382984000</v>
      </c>
      <c r="T44" s="10">
        <v>449170000</v>
      </c>
      <c r="U44" s="10">
        <v>580810000</v>
      </c>
      <c r="V44" s="10">
        <v>655206000</v>
      </c>
      <c r="W44" s="10">
        <v>841998000</v>
      </c>
      <c r="X44" s="10">
        <v>1124852000</v>
      </c>
      <c r="Y44" s="10">
        <v>1410619000</v>
      </c>
    </row>
    <row r="45" spans="1:25" ht="19" x14ac:dyDescent="0.25">
      <c r="A45" s="5" t="s">
        <v>37</v>
      </c>
      <c r="B45" s="1" t="s">
        <v>92</v>
      </c>
      <c r="C45" s="1" t="s">
        <v>92</v>
      </c>
      <c r="D45" s="1" t="s">
        <v>92</v>
      </c>
      <c r="E45" s="1">
        <v>1467936</v>
      </c>
      <c r="F45" s="1">
        <v>2148891</v>
      </c>
      <c r="G45" s="1">
        <v>4180200</v>
      </c>
      <c r="H45" s="1">
        <v>6238000</v>
      </c>
      <c r="I45" s="1">
        <v>11358000</v>
      </c>
      <c r="J45" s="1">
        <v>14175000</v>
      </c>
      <c r="K45" s="1">
        <v>14163000</v>
      </c>
      <c r="L45" s="1">
        <v>17968000</v>
      </c>
      <c r="M45" s="1">
        <v>37262000</v>
      </c>
      <c r="N45" s="1">
        <v>47794000</v>
      </c>
      <c r="O45" s="1">
        <v>59412000</v>
      </c>
      <c r="P45" s="1">
        <v>64837000</v>
      </c>
      <c r="Q45" s="1">
        <v>62942000</v>
      </c>
      <c r="R45" s="1">
        <v>65359000</v>
      </c>
      <c r="S45" s="1">
        <v>85171000</v>
      </c>
      <c r="T45" s="1">
        <v>144636000</v>
      </c>
      <c r="U45" s="1">
        <v>150001000</v>
      </c>
      <c r="V45" s="1">
        <v>231178000</v>
      </c>
      <c r="W45" s="1">
        <v>285247000</v>
      </c>
      <c r="X45" s="1">
        <v>362962000</v>
      </c>
      <c r="Y45" s="1">
        <v>357157000</v>
      </c>
    </row>
    <row r="46" spans="1:25"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v>6571000</v>
      </c>
      <c r="R46" s="1">
        <v>6571000</v>
      </c>
      <c r="S46" s="1">
        <v>6571000</v>
      </c>
      <c r="T46" s="1">
        <v>6571000</v>
      </c>
      <c r="U46" s="1">
        <v>6571000</v>
      </c>
      <c r="V46" s="1">
        <v>6571000</v>
      </c>
      <c r="W46" s="1">
        <v>6571000</v>
      </c>
      <c r="X46" s="1">
        <v>6571000</v>
      </c>
      <c r="Y46" s="1">
        <v>6571000</v>
      </c>
    </row>
    <row r="47" spans="1:25"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v>6812000</v>
      </c>
      <c r="R47" s="1">
        <v>5053000</v>
      </c>
      <c r="S47" s="1">
        <v>3002000</v>
      </c>
      <c r="T47" s="1">
        <v>951000</v>
      </c>
      <c r="U47" s="1">
        <v>111000</v>
      </c>
      <c r="V47" s="1" t="s">
        <v>92</v>
      </c>
      <c r="W47" s="1" t="s">
        <v>92</v>
      </c>
      <c r="X47" s="1" t="s">
        <v>92</v>
      </c>
      <c r="Y47" s="1" t="s">
        <v>92</v>
      </c>
    </row>
    <row r="48" spans="1:25"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t="s">
        <v>92</v>
      </c>
      <c r="Q48" s="1">
        <v>13383000</v>
      </c>
      <c r="R48" s="1">
        <v>11624000</v>
      </c>
      <c r="S48" s="1">
        <v>9573000</v>
      </c>
      <c r="T48" s="1">
        <v>7522000</v>
      </c>
      <c r="U48" s="1">
        <v>6682000</v>
      </c>
      <c r="V48" s="1">
        <v>6571000</v>
      </c>
      <c r="W48" s="1">
        <v>6571000</v>
      </c>
      <c r="X48" s="1">
        <v>6571000</v>
      </c>
      <c r="Y48" s="1">
        <v>6571000</v>
      </c>
    </row>
    <row r="49" spans="1:25" ht="19" x14ac:dyDescent="0.25">
      <c r="A49" s="5" t="s">
        <v>41</v>
      </c>
      <c r="B49" s="1" t="s">
        <v>92</v>
      </c>
      <c r="C49" s="1" t="s">
        <v>92</v>
      </c>
      <c r="D49" s="1" t="s">
        <v>92</v>
      </c>
      <c r="E49" s="1" t="s">
        <v>92</v>
      </c>
      <c r="F49" s="1" t="s">
        <v>92</v>
      </c>
      <c r="G49" s="1" t="s">
        <v>92</v>
      </c>
      <c r="H49" s="1" t="s">
        <v>92</v>
      </c>
      <c r="I49" s="1" t="s">
        <v>92</v>
      </c>
      <c r="J49" s="1" t="s">
        <v>92</v>
      </c>
      <c r="K49" s="1">
        <v>37425000</v>
      </c>
      <c r="L49" s="1">
        <v>19445000</v>
      </c>
      <c r="M49" s="1">
        <v>19180000</v>
      </c>
      <c r="N49" s="1">
        <v>13675000</v>
      </c>
      <c r="O49" s="1">
        <v>11755000</v>
      </c>
      <c r="P49" s="1">
        <v>9860000</v>
      </c>
      <c r="Q49" s="1">
        <v>5389000</v>
      </c>
      <c r="R49" s="1">
        <v>5361000</v>
      </c>
      <c r="S49" s="1">
        <v>5354000</v>
      </c>
      <c r="T49" s="1">
        <v>5256000</v>
      </c>
      <c r="U49" s="1">
        <v>3241000</v>
      </c>
      <c r="V49" s="1">
        <v>3138000</v>
      </c>
      <c r="W49" s="1">
        <v>6261000</v>
      </c>
      <c r="X49" s="1" t="s">
        <v>92</v>
      </c>
      <c r="Y49" s="1" t="s">
        <v>92</v>
      </c>
    </row>
    <row r="50" spans="1:25" ht="19" x14ac:dyDescent="0.25">
      <c r="A50" s="5" t="s">
        <v>42</v>
      </c>
      <c r="B50" s="1" t="s">
        <v>92</v>
      </c>
      <c r="C50" s="1" t="s">
        <v>92</v>
      </c>
      <c r="D50" s="1" t="s">
        <v>92</v>
      </c>
      <c r="E50" s="1" t="s">
        <v>92</v>
      </c>
      <c r="F50" s="1" t="s">
        <v>92</v>
      </c>
      <c r="G50" s="1">
        <v>657569</v>
      </c>
      <c r="H50" s="1" t="s">
        <v>92</v>
      </c>
      <c r="I50" s="1" t="s">
        <v>92</v>
      </c>
      <c r="J50" s="1">
        <v>759000</v>
      </c>
      <c r="K50" s="1">
        <v>19000</v>
      </c>
      <c r="L50" s="1">
        <v>175000</v>
      </c>
      <c r="M50" s="1">
        <v>39000</v>
      </c>
      <c r="N50" s="1">
        <v>239000</v>
      </c>
      <c r="O50" s="1">
        <v>669000</v>
      </c>
      <c r="P50" s="1">
        <v>481000</v>
      </c>
      <c r="Q50" s="1">
        <v>1049000</v>
      </c>
      <c r="R50" s="1">
        <v>672000</v>
      </c>
      <c r="S50" s="1">
        <v>633000</v>
      </c>
      <c r="T50" s="1">
        <v>15917000</v>
      </c>
      <c r="U50" s="1">
        <v>16830000</v>
      </c>
      <c r="V50" s="1">
        <v>17193000</v>
      </c>
      <c r="W50" s="1">
        <v>18556000</v>
      </c>
      <c r="X50" s="1">
        <v>21917000</v>
      </c>
      <c r="Y50" s="1">
        <v>35252000</v>
      </c>
    </row>
    <row r="51" spans="1:25" ht="19" x14ac:dyDescent="0.25">
      <c r="A51" s="5" t="s">
        <v>43</v>
      </c>
      <c r="B51" s="1" t="s">
        <v>92</v>
      </c>
      <c r="C51" s="1" t="s">
        <v>92</v>
      </c>
      <c r="D51" s="1" t="s">
        <v>92</v>
      </c>
      <c r="E51" s="1">
        <v>76834</v>
      </c>
      <c r="F51" s="1">
        <v>816898</v>
      </c>
      <c r="G51" s="1">
        <v>6774794</v>
      </c>
      <c r="H51" s="1">
        <v>6820000</v>
      </c>
      <c r="I51" s="1">
        <v>8809000</v>
      </c>
      <c r="J51" s="1">
        <v>8879000</v>
      </c>
      <c r="K51" s="1">
        <v>445000</v>
      </c>
      <c r="L51" s="1">
        <v>734000</v>
      </c>
      <c r="M51" s="1">
        <v>749000</v>
      </c>
      <c r="N51" s="1">
        <v>654000</v>
      </c>
      <c r="O51" s="1">
        <v>1025000</v>
      </c>
      <c r="P51" s="1">
        <v>1644000</v>
      </c>
      <c r="Q51" s="1">
        <v>8457000</v>
      </c>
      <c r="R51" s="1">
        <v>16341000</v>
      </c>
      <c r="S51" s="1">
        <v>27411000</v>
      </c>
      <c r="T51" s="1">
        <v>30068000</v>
      </c>
      <c r="U51" s="1">
        <v>35868000</v>
      </c>
      <c r="V51" s="1">
        <v>43089000</v>
      </c>
      <c r="W51" s="1">
        <v>49858000</v>
      </c>
      <c r="X51" s="1">
        <v>69523000</v>
      </c>
      <c r="Y51" s="1">
        <v>249286000</v>
      </c>
    </row>
    <row r="52" spans="1:25" ht="19" x14ac:dyDescent="0.25">
      <c r="A52" s="5" t="s">
        <v>44</v>
      </c>
      <c r="B52" s="1" t="s">
        <v>92</v>
      </c>
      <c r="C52" s="1" t="s">
        <v>92</v>
      </c>
      <c r="D52" s="1" t="s">
        <v>92</v>
      </c>
      <c r="E52" s="1">
        <v>1544770</v>
      </c>
      <c r="F52" s="1">
        <v>2965789</v>
      </c>
      <c r="G52" s="1">
        <v>11612563</v>
      </c>
      <c r="H52" s="1">
        <v>13058000</v>
      </c>
      <c r="I52" s="1">
        <v>20167000</v>
      </c>
      <c r="J52" s="1">
        <v>23813000</v>
      </c>
      <c r="K52" s="1">
        <v>52052000</v>
      </c>
      <c r="L52" s="1">
        <v>38322000</v>
      </c>
      <c r="M52" s="1">
        <v>57230000</v>
      </c>
      <c r="N52" s="1">
        <v>62362000</v>
      </c>
      <c r="O52" s="1">
        <v>72861000</v>
      </c>
      <c r="P52" s="1">
        <v>76822000</v>
      </c>
      <c r="Q52" s="1">
        <v>91220000</v>
      </c>
      <c r="R52" s="1">
        <v>99357000</v>
      </c>
      <c r="S52" s="1">
        <v>128142000</v>
      </c>
      <c r="T52" s="1">
        <v>203399000</v>
      </c>
      <c r="U52" s="1">
        <v>212622000</v>
      </c>
      <c r="V52" s="1">
        <v>301169000</v>
      </c>
      <c r="W52" s="1">
        <v>366493000</v>
      </c>
      <c r="X52" s="1">
        <v>460973000</v>
      </c>
      <c r="Y52" s="1">
        <v>648266000</v>
      </c>
    </row>
    <row r="53" spans="1:25" ht="19" x14ac:dyDescent="0.25">
      <c r="A53" s="5" t="s">
        <v>45</v>
      </c>
      <c r="B53" s="1" t="s">
        <v>92</v>
      </c>
      <c r="C53" s="1" t="s">
        <v>92</v>
      </c>
      <c r="D53" s="1">
        <v>4346000</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row>
    <row r="54" spans="1:25" ht="20" thickBot="1" x14ac:dyDescent="0.3">
      <c r="A54" s="7" t="s">
        <v>46</v>
      </c>
      <c r="B54" s="11" t="s">
        <v>92</v>
      </c>
      <c r="C54" s="11" t="s">
        <v>92</v>
      </c>
      <c r="D54" s="11">
        <v>4346000</v>
      </c>
      <c r="E54" s="11">
        <v>21614247</v>
      </c>
      <c r="F54" s="11">
        <v>22603261</v>
      </c>
      <c r="G54" s="11">
        <v>71947687</v>
      </c>
      <c r="H54" s="11">
        <v>100775000</v>
      </c>
      <c r="I54" s="11">
        <v>117327000</v>
      </c>
      <c r="J54" s="11">
        <v>172499000</v>
      </c>
      <c r="K54" s="11">
        <v>195299000</v>
      </c>
      <c r="L54" s="11">
        <v>241821000</v>
      </c>
      <c r="M54" s="11">
        <v>281603000</v>
      </c>
      <c r="N54" s="11">
        <v>273867000</v>
      </c>
      <c r="O54" s="11">
        <v>287162000</v>
      </c>
      <c r="P54" s="11">
        <v>368908000</v>
      </c>
      <c r="Q54" s="11">
        <v>399366000</v>
      </c>
      <c r="R54" s="11">
        <v>431285000</v>
      </c>
      <c r="S54" s="11">
        <v>511126000</v>
      </c>
      <c r="T54" s="11">
        <v>652569000</v>
      </c>
      <c r="U54" s="11">
        <v>793432000</v>
      </c>
      <c r="V54" s="11">
        <v>956375000</v>
      </c>
      <c r="W54" s="11">
        <v>1208491000</v>
      </c>
      <c r="X54" s="11">
        <v>1585825000</v>
      </c>
      <c r="Y54" s="11">
        <v>2058885000</v>
      </c>
    </row>
    <row r="55" spans="1:25" ht="20" thickTop="1" x14ac:dyDescent="0.25">
      <c r="A55" s="5" t="s">
        <v>47</v>
      </c>
      <c r="B55" s="1" t="s">
        <v>92</v>
      </c>
      <c r="C55" s="1" t="s">
        <v>92</v>
      </c>
      <c r="D55" s="1" t="s">
        <v>92</v>
      </c>
      <c r="E55" s="1">
        <v>1590906</v>
      </c>
      <c r="F55" s="1">
        <v>1792410</v>
      </c>
      <c r="G55" s="1">
        <v>3396081</v>
      </c>
      <c r="H55" s="1">
        <v>6583000</v>
      </c>
      <c r="I55" s="1">
        <v>5909000</v>
      </c>
      <c r="J55" s="1">
        <v>6154000</v>
      </c>
      <c r="K55" s="1">
        <v>4674000</v>
      </c>
      <c r="L55" s="1">
        <v>7787000</v>
      </c>
      <c r="M55" s="1">
        <v>8979000</v>
      </c>
      <c r="N55" s="1">
        <v>8904000</v>
      </c>
      <c r="O55" s="1">
        <v>9859000</v>
      </c>
      <c r="P55" s="1">
        <v>10694000</v>
      </c>
      <c r="Q55" s="1">
        <v>13138000</v>
      </c>
      <c r="R55" s="1">
        <v>13487000</v>
      </c>
      <c r="S55" s="1">
        <v>17427000</v>
      </c>
      <c r="T55" s="1">
        <v>22813000</v>
      </c>
      <c r="U55" s="1">
        <v>22678000</v>
      </c>
      <c r="V55" s="1">
        <v>27271000</v>
      </c>
      <c r="W55" s="1">
        <v>38169000</v>
      </c>
      <c r="X55" s="1">
        <v>83027000</v>
      </c>
      <c r="Y55" s="1">
        <v>61461000</v>
      </c>
    </row>
    <row r="56" spans="1:25"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v>1254000</v>
      </c>
      <c r="W56" s="1">
        <v>1406000</v>
      </c>
      <c r="X56" s="1" t="s">
        <v>92</v>
      </c>
      <c r="Y56" s="1">
        <v>0</v>
      </c>
    </row>
    <row r="57" spans="1:25"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v>2435000</v>
      </c>
      <c r="W57" s="1">
        <v>3755000</v>
      </c>
      <c r="X57" s="1" t="s">
        <v>92</v>
      </c>
      <c r="Y57" s="1" t="s">
        <v>92</v>
      </c>
    </row>
    <row r="58" spans="1:25" ht="19" x14ac:dyDescent="0.25">
      <c r="A58" s="5" t="s">
        <v>50</v>
      </c>
      <c r="B58" s="1" t="s">
        <v>92</v>
      </c>
      <c r="C58" s="1" t="s">
        <v>92</v>
      </c>
      <c r="D58" s="1" t="s">
        <v>92</v>
      </c>
      <c r="E58" s="1" t="s">
        <v>92</v>
      </c>
      <c r="F58" s="1" t="s">
        <v>92</v>
      </c>
      <c r="G58" s="1" t="s">
        <v>92</v>
      </c>
      <c r="H58" s="1" t="s">
        <v>92</v>
      </c>
      <c r="I58" s="1" t="s">
        <v>92</v>
      </c>
      <c r="J58" s="1">
        <v>1306000</v>
      </c>
      <c r="K58" s="1">
        <v>841000</v>
      </c>
      <c r="L58" s="1" t="s">
        <v>92</v>
      </c>
      <c r="M58" s="1" t="s">
        <v>92</v>
      </c>
      <c r="N58" s="1" t="s">
        <v>92</v>
      </c>
      <c r="O58" s="1">
        <v>2198000</v>
      </c>
      <c r="P58" s="1">
        <v>2523000</v>
      </c>
      <c r="Q58" s="1">
        <v>3908000</v>
      </c>
      <c r="R58" s="1">
        <v>5236000</v>
      </c>
      <c r="S58" s="1">
        <v>6799000</v>
      </c>
      <c r="T58" s="1">
        <v>6587000</v>
      </c>
      <c r="U58" s="1">
        <v>2520000</v>
      </c>
      <c r="V58" s="1">
        <v>3412000</v>
      </c>
      <c r="W58" s="1">
        <v>7238000</v>
      </c>
      <c r="X58" s="1">
        <v>4300000</v>
      </c>
      <c r="Y58" s="1" t="s">
        <v>92</v>
      </c>
    </row>
    <row r="59" spans="1:25" ht="19" x14ac:dyDescent="0.25">
      <c r="A59" s="5" t="s">
        <v>51</v>
      </c>
      <c r="B59" s="1" t="s">
        <v>92</v>
      </c>
      <c r="C59" s="1" t="s">
        <v>92</v>
      </c>
      <c r="D59" s="1" t="s">
        <v>92</v>
      </c>
      <c r="E59" s="1">
        <v>910820</v>
      </c>
      <c r="F59" s="1">
        <v>1101904</v>
      </c>
      <c r="G59" s="1">
        <v>4887576</v>
      </c>
      <c r="H59" s="1">
        <v>15684000</v>
      </c>
      <c r="I59" s="1">
        <v>14213000</v>
      </c>
      <c r="J59" s="1">
        <v>21952000</v>
      </c>
      <c r="K59" s="1">
        <v>20367000</v>
      </c>
      <c r="L59" s="1">
        <v>16135000</v>
      </c>
      <c r="M59" s="1">
        <v>19991000</v>
      </c>
      <c r="N59" s="1">
        <v>17166000</v>
      </c>
      <c r="O59" s="1">
        <v>11403000</v>
      </c>
      <c r="P59" s="1">
        <v>25272000</v>
      </c>
      <c r="Q59" s="1">
        <v>19815000</v>
      </c>
      <c r="R59" s="1">
        <v>24560000</v>
      </c>
      <c r="S59" s="1">
        <v>28695000</v>
      </c>
      <c r="T59" s="1">
        <v>36517000</v>
      </c>
      <c r="U59" s="1">
        <v>55241000</v>
      </c>
      <c r="V59" s="1">
        <v>63853000</v>
      </c>
      <c r="W59" s="1">
        <v>96401000</v>
      </c>
      <c r="X59" s="1">
        <v>139617000</v>
      </c>
      <c r="Y59" s="1">
        <v>201939000</v>
      </c>
    </row>
    <row r="60" spans="1:25" ht="19" x14ac:dyDescent="0.25">
      <c r="A60" s="6" t="s">
        <v>52</v>
      </c>
      <c r="B60" s="10" t="s">
        <v>92</v>
      </c>
      <c r="C60" s="10" t="s">
        <v>92</v>
      </c>
      <c r="D60" s="10" t="s">
        <v>92</v>
      </c>
      <c r="E60" s="10">
        <v>2501726</v>
      </c>
      <c r="F60" s="10">
        <v>2894314</v>
      </c>
      <c r="G60" s="10">
        <v>8283657</v>
      </c>
      <c r="H60" s="10">
        <v>22267000</v>
      </c>
      <c r="I60" s="10">
        <v>20122000</v>
      </c>
      <c r="J60" s="10">
        <v>29412000</v>
      </c>
      <c r="K60" s="10">
        <v>25882000</v>
      </c>
      <c r="L60" s="10">
        <v>23922000</v>
      </c>
      <c r="M60" s="10">
        <v>28970000</v>
      </c>
      <c r="N60" s="10">
        <v>26070000</v>
      </c>
      <c r="O60" s="10">
        <v>23460000</v>
      </c>
      <c r="P60" s="10">
        <v>38489000</v>
      </c>
      <c r="Q60" s="10">
        <v>36861000</v>
      </c>
      <c r="R60" s="10">
        <v>43283000</v>
      </c>
      <c r="S60" s="10">
        <v>52921000</v>
      </c>
      <c r="T60" s="10">
        <v>65917000</v>
      </c>
      <c r="U60" s="10">
        <v>80439000</v>
      </c>
      <c r="V60" s="10">
        <v>98225000</v>
      </c>
      <c r="W60" s="10">
        <v>146969000</v>
      </c>
      <c r="X60" s="10">
        <v>226944000</v>
      </c>
      <c r="Y60" s="10">
        <v>263400000</v>
      </c>
    </row>
    <row r="61" spans="1:25"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v>1103000</v>
      </c>
      <c r="W61" s="1">
        <v>1693000</v>
      </c>
      <c r="X61" s="1" t="s">
        <v>92</v>
      </c>
      <c r="Y61" s="1">
        <v>0</v>
      </c>
    </row>
    <row r="62" spans="1:25"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row>
    <row r="63" spans="1:25" ht="19" x14ac:dyDescent="0.25">
      <c r="A63" s="5" t="s">
        <v>54</v>
      </c>
      <c r="B63" s="1" t="s">
        <v>92</v>
      </c>
      <c r="C63" s="1" t="s">
        <v>92</v>
      </c>
      <c r="D63" s="1" t="s">
        <v>92</v>
      </c>
      <c r="E63" s="1" t="s">
        <v>92</v>
      </c>
      <c r="F63" s="1" t="s">
        <v>92</v>
      </c>
      <c r="G63" s="1" t="s">
        <v>92</v>
      </c>
      <c r="H63" s="1">
        <v>131000</v>
      </c>
      <c r="I63" s="1" t="s">
        <v>92</v>
      </c>
      <c r="J63" s="1" t="s">
        <v>92</v>
      </c>
      <c r="K63" s="1">
        <v>4762000</v>
      </c>
      <c r="L63" s="1">
        <v>4915000</v>
      </c>
      <c r="M63" s="1">
        <v>5015000</v>
      </c>
      <c r="N63" s="1" t="s">
        <v>92</v>
      </c>
      <c r="O63" s="1" t="s">
        <v>92</v>
      </c>
      <c r="P63" s="1" t="s">
        <v>92</v>
      </c>
      <c r="Q63" s="1">
        <v>5876000</v>
      </c>
      <c r="R63" s="1">
        <v>2941000</v>
      </c>
      <c r="S63" s="1" t="s">
        <v>92</v>
      </c>
      <c r="T63" s="1" t="s">
        <v>92</v>
      </c>
      <c r="U63" s="1" t="s">
        <v>92</v>
      </c>
      <c r="V63" s="1" t="s">
        <v>92</v>
      </c>
      <c r="W63" s="1" t="s">
        <v>92</v>
      </c>
      <c r="X63" s="1" t="s">
        <v>92</v>
      </c>
      <c r="Y63" s="1" t="s">
        <v>92</v>
      </c>
    </row>
    <row r="64" spans="1:25" ht="19" x14ac:dyDescent="0.25">
      <c r="A64" s="5" t="s">
        <v>55</v>
      </c>
      <c r="B64" s="1" t="s">
        <v>92</v>
      </c>
      <c r="C64" s="1" t="s">
        <v>92</v>
      </c>
      <c r="D64" s="1" t="s">
        <v>92</v>
      </c>
      <c r="E64" s="1">
        <v>17133051</v>
      </c>
      <c r="F64" s="1">
        <v>18477947</v>
      </c>
      <c r="G64" s="1">
        <v>161448</v>
      </c>
      <c r="H64" s="1">
        <v>209000</v>
      </c>
      <c r="I64" s="1">
        <v>2253000</v>
      </c>
      <c r="J64" s="1">
        <v>5778000</v>
      </c>
      <c r="K64" s="1">
        <v>10000</v>
      </c>
      <c r="L64" s="1">
        <v>27000</v>
      </c>
      <c r="M64" s="1">
        <v>723000</v>
      </c>
      <c r="N64" s="1">
        <v>4920000</v>
      </c>
      <c r="O64" s="1">
        <v>5408000</v>
      </c>
      <c r="P64" s="1">
        <v>7020000</v>
      </c>
      <c r="Q64" s="1">
        <v>10204000</v>
      </c>
      <c r="R64" s="1">
        <v>16545000</v>
      </c>
      <c r="S64" s="1">
        <v>27089000</v>
      </c>
      <c r="T64" s="1">
        <v>64645000</v>
      </c>
      <c r="U64" s="1">
        <v>72900000</v>
      </c>
      <c r="V64" s="1">
        <v>83556000</v>
      </c>
      <c r="W64" s="1">
        <v>93242000</v>
      </c>
      <c r="X64" s="1">
        <v>114896000</v>
      </c>
      <c r="Y64" s="1">
        <v>126883000</v>
      </c>
    </row>
    <row r="65" spans="1:25" ht="19" x14ac:dyDescent="0.25">
      <c r="A65" s="5" t="s">
        <v>56</v>
      </c>
      <c r="B65" s="1" t="s">
        <v>92</v>
      </c>
      <c r="C65" s="1" t="s">
        <v>92</v>
      </c>
      <c r="D65" s="1" t="s">
        <v>92</v>
      </c>
      <c r="E65" s="1">
        <v>17133051</v>
      </c>
      <c r="F65" s="1">
        <v>18477947</v>
      </c>
      <c r="G65" s="1">
        <v>161448</v>
      </c>
      <c r="H65" s="1">
        <v>340000</v>
      </c>
      <c r="I65" s="1">
        <v>2253000</v>
      </c>
      <c r="J65" s="1">
        <v>5778000</v>
      </c>
      <c r="K65" s="1">
        <v>4772000</v>
      </c>
      <c r="L65" s="1">
        <v>4942000</v>
      </c>
      <c r="M65" s="1">
        <v>5738000</v>
      </c>
      <c r="N65" s="1">
        <v>4920000</v>
      </c>
      <c r="O65" s="1">
        <v>5408000</v>
      </c>
      <c r="P65" s="1">
        <v>7020000</v>
      </c>
      <c r="Q65" s="1">
        <v>16080000</v>
      </c>
      <c r="R65" s="1">
        <v>19486000</v>
      </c>
      <c r="S65" s="1">
        <v>27089000</v>
      </c>
      <c r="T65" s="1">
        <v>64645000</v>
      </c>
      <c r="U65" s="1">
        <v>72900000</v>
      </c>
      <c r="V65" s="1">
        <v>84659000</v>
      </c>
      <c r="W65" s="1">
        <v>94935000</v>
      </c>
      <c r="X65" s="1">
        <v>114896000</v>
      </c>
      <c r="Y65" s="1">
        <v>126883000</v>
      </c>
    </row>
    <row r="66" spans="1:25" ht="19" x14ac:dyDescent="0.25">
      <c r="A66" s="5" t="s">
        <v>57</v>
      </c>
      <c r="B66" s="1" t="s">
        <v>92</v>
      </c>
      <c r="C66" s="1" t="s">
        <v>92</v>
      </c>
      <c r="D66" s="1">
        <v>2649000</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row>
    <row r="67" spans="1:25" ht="19" x14ac:dyDescent="0.25">
      <c r="A67" s="6" t="s">
        <v>58</v>
      </c>
      <c r="B67" s="10" t="s">
        <v>92</v>
      </c>
      <c r="C67" s="10" t="s">
        <v>92</v>
      </c>
      <c r="D67" s="10">
        <v>2649000</v>
      </c>
      <c r="E67" s="10">
        <v>19634777</v>
      </c>
      <c r="F67" s="10">
        <v>21372261</v>
      </c>
      <c r="G67" s="10">
        <v>8445105</v>
      </c>
      <c r="H67" s="10">
        <v>22607000</v>
      </c>
      <c r="I67" s="10">
        <v>22375000</v>
      </c>
      <c r="J67" s="10">
        <v>35190000</v>
      </c>
      <c r="K67" s="10">
        <v>30654000</v>
      </c>
      <c r="L67" s="10">
        <v>28864000</v>
      </c>
      <c r="M67" s="10">
        <v>34708000</v>
      </c>
      <c r="N67" s="10">
        <v>30990000</v>
      </c>
      <c r="O67" s="10">
        <v>28868000</v>
      </c>
      <c r="P67" s="10">
        <v>45509000</v>
      </c>
      <c r="Q67" s="10">
        <v>52941000</v>
      </c>
      <c r="R67" s="10">
        <v>62769000</v>
      </c>
      <c r="S67" s="10">
        <v>80010000</v>
      </c>
      <c r="T67" s="10">
        <v>130562000</v>
      </c>
      <c r="U67" s="10">
        <v>153339000</v>
      </c>
      <c r="V67" s="10">
        <v>182884000</v>
      </c>
      <c r="W67" s="10">
        <v>241904000</v>
      </c>
      <c r="X67" s="10">
        <v>341840000</v>
      </c>
      <c r="Y67" s="10">
        <v>390283000</v>
      </c>
    </row>
    <row r="68" spans="1:25" ht="19" x14ac:dyDescent="0.25">
      <c r="A68" s="5" t="s">
        <v>59</v>
      </c>
      <c r="B68" s="1" t="s">
        <v>92</v>
      </c>
      <c r="C68" s="1" t="s">
        <v>92</v>
      </c>
      <c r="D68" s="1" t="s">
        <v>92</v>
      </c>
      <c r="E68" s="1">
        <v>2092256</v>
      </c>
      <c r="F68" s="1">
        <v>13532922</v>
      </c>
      <c r="G68" s="1">
        <v>93526801</v>
      </c>
      <c r="H68" s="1">
        <v>98342000</v>
      </c>
      <c r="I68" s="1">
        <v>113532000</v>
      </c>
      <c r="J68" s="1">
        <v>146035000</v>
      </c>
      <c r="K68" s="1">
        <v>147298000</v>
      </c>
      <c r="L68" s="1">
        <v>175518000</v>
      </c>
      <c r="M68" s="1">
        <v>178269000</v>
      </c>
      <c r="N68" s="1">
        <v>159336000</v>
      </c>
      <c r="O68" s="1">
        <v>194079000</v>
      </c>
      <c r="P68" s="1">
        <v>234201000</v>
      </c>
      <c r="Q68" s="1">
        <v>240500000</v>
      </c>
      <c r="R68" s="1">
        <v>265763000</v>
      </c>
      <c r="S68" s="1">
        <v>315969000</v>
      </c>
      <c r="T68" s="1">
        <v>376586000</v>
      </c>
      <c r="U68" s="1">
        <v>450908000</v>
      </c>
      <c r="V68" s="1">
        <v>549517000</v>
      </c>
      <c r="W68" s="1">
        <v>657701000</v>
      </c>
      <c r="X68" s="1">
        <v>803226000</v>
      </c>
      <c r="Y68" s="1">
        <v>975276000</v>
      </c>
    </row>
    <row r="69" spans="1:25" ht="19" x14ac:dyDescent="0.25">
      <c r="A69" s="5" t="s">
        <v>60</v>
      </c>
      <c r="B69" s="1" t="s">
        <v>92</v>
      </c>
      <c r="C69" s="1" t="s">
        <v>92</v>
      </c>
      <c r="D69" s="1" t="s">
        <v>92</v>
      </c>
      <c r="E69" s="1">
        <v>-10679595</v>
      </c>
      <c r="F69" s="1">
        <v>-15055312</v>
      </c>
      <c r="G69" s="1">
        <v>-20689562</v>
      </c>
      <c r="H69" s="1">
        <v>-15094000</v>
      </c>
      <c r="I69" s="1">
        <v>-17895000</v>
      </c>
      <c r="J69" s="1">
        <v>-9188000</v>
      </c>
      <c r="K69" s="1">
        <v>17411000</v>
      </c>
      <c r="L69" s="1">
        <v>37085000</v>
      </c>
      <c r="M69" s="1">
        <v>66647000</v>
      </c>
      <c r="N69" s="1">
        <v>79948000</v>
      </c>
      <c r="O69" s="1">
        <v>60040000</v>
      </c>
      <c r="P69" s="1">
        <v>82938000</v>
      </c>
      <c r="Q69" s="1">
        <v>100114000</v>
      </c>
      <c r="R69" s="1">
        <v>101287000</v>
      </c>
      <c r="S69" s="1">
        <v>119362000</v>
      </c>
      <c r="T69" s="1">
        <v>143608000</v>
      </c>
      <c r="U69" s="1">
        <v>194728000</v>
      </c>
      <c r="V69" s="1">
        <v>229450000</v>
      </c>
      <c r="W69" s="1">
        <v>298746000</v>
      </c>
      <c r="X69" s="1">
        <v>424879000</v>
      </c>
      <c r="Y69" s="1">
        <v>716403000</v>
      </c>
    </row>
    <row r="70" spans="1:25" ht="19" x14ac:dyDescent="0.25">
      <c r="A70" s="5" t="s">
        <v>61</v>
      </c>
      <c r="B70" s="1" t="s">
        <v>92</v>
      </c>
      <c r="C70" s="1" t="s">
        <v>92</v>
      </c>
      <c r="D70" s="1" t="s">
        <v>92</v>
      </c>
      <c r="E70" s="1">
        <v>-1161000</v>
      </c>
      <c r="F70" s="1">
        <v>-2189946</v>
      </c>
      <c r="G70" s="1">
        <v>-3216194</v>
      </c>
      <c r="H70" s="1">
        <v>-4873000</v>
      </c>
      <c r="I70" s="1">
        <v>-7057000</v>
      </c>
      <c r="J70" s="1">
        <v>-10527000</v>
      </c>
      <c r="K70" s="1">
        <v>-15921000</v>
      </c>
      <c r="L70" s="1">
        <v>-22113000</v>
      </c>
      <c r="M70" s="1">
        <v>2000000</v>
      </c>
      <c r="N70" s="1">
        <v>4000000</v>
      </c>
      <c r="O70" s="1">
        <v>4000000</v>
      </c>
      <c r="P70" s="1">
        <v>6000000</v>
      </c>
      <c r="Q70" s="1">
        <v>6000000</v>
      </c>
      <c r="R70" s="1">
        <v>1000000</v>
      </c>
      <c r="S70" s="1">
        <v>-4000000</v>
      </c>
      <c r="T70" s="1">
        <v>2000000</v>
      </c>
      <c r="U70" s="1">
        <v>-6000000</v>
      </c>
      <c r="V70" s="1">
        <v>-5476000</v>
      </c>
      <c r="W70" s="1">
        <v>10140000</v>
      </c>
      <c r="X70" s="1">
        <v>15880000</v>
      </c>
      <c r="Y70" s="1">
        <v>-23077000</v>
      </c>
    </row>
    <row r="71" spans="1:25" ht="19" x14ac:dyDescent="0.25">
      <c r="A71" s="5" t="s">
        <v>62</v>
      </c>
      <c r="B71" s="1" t="s">
        <v>92</v>
      </c>
      <c r="C71" s="1" t="s">
        <v>92</v>
      </c>
      <c r="D71" s="1">
        <v>1697000</v>
      </c>
      <c r="E71" s="1">
        <v>565168</v>
      </c>
      <c r="F71" s="1">
        <v>-6219305</v>
      </c>
      <c r="G71" s="1">
        <v>-6118463</v>
      </c>
      <c r="H71" s="1">
        <v>-207000</v>
      </c>
      <c r="I71" s="1">
        <v>6372000</v>
      </c>
      <c r="J71" s="1">
        <v>10989000</v>
      </c>
      <c r="K71" s="1">
        <v>15857000</v>
      </c>
      <c r="L71" s="1">
        <v>22467000</v>
      </c>
      <c r="M71" s="1">
        <v>-21000</v>
      </c>
      <c r="N71" s="1">
        <v>-407000</v>
      </c>
      <c r="O71" s="1">
        <v>175000</v>
      </c>
      <c r="P71" s="1">
        <v>260000</v>
      </c>
      <c r="Q71" s="1">
        <v>-189000</v>
      </c>
      <c r="R71" s="1">
        <v>466000</v>
      </c>
      <c r="S71" s="1">
        <v>-215000</v>
      </c>
      <c r="T71" s="1">
        <v>-187000</v>
      </c>
      <c r="U71" s="1">
        <v>457000</v>
      </c>
      <c r="V71" s="1" t="s">
        <v>92</v>
      </c>
      <c r="W71" s="1" t="s">
        <v>92</v>
      </c>
      <c r="X71" s="1" t="s">
        <v>92</v>
      </c>
      <c r="Y71" s="1" t="s">
        <v>92</v>
      </c>
    </row>
    <row r="72" spans="1:25" ht="19" x14ac:dyDescent="0.25">
      <c r="A72" s="6" t="s">
        <v>63</v>
      </c>
      <c r="B72" s="10" t="s">
        <v>92</v>
      </c>
      <c r="C72" s="10" t="s">
        <v>92</v>
      </c>
      <c r="D72" s="10">
        <v>1697000</v>
      </c>
      <c r="E72" s="10">
        <v>1979470</v>
      </c>
      <c r="F72" s="10">
        <v>1231000</v>
      </c>
      <c r="G72" s="10">
        <v>63502582</v>
      </c>
      <c r="H72" s="10">
        <v>78168000</v>
      </c>
      <c r="I72" s="10">
        <v>94952000</v>
      </c>
      <c r="J72" s="10">
        <v>137309000</v>
      </c>
      <c r="K72" s="10">
        <v>164645000</v>
      </c>
      <c r="L72" s="10">
        <v>212957000</v>
      </c>
      <c r="M72" s="10">
        <v>246895000</v>
      </c>
      <c r="N72" s="10">
        <v>242877000</v>
      </c>
      <c r="O72" s="10">
        <v>258294000</v>
      </c>
      <c r="P72" s="10">
        <v>323399000</v>
      </c>
      <c r="Q72" s="10">
        <v>346425000</v>
      </c>
      <c r="R72" s="10">
        <v>368516000</v>
      </c>
      <c r="S72" s="10">
        <v>431116000</v>
      </c>
      <c r="T72" s="10">
        <v>522007000</v>
      </c>
      <c r="U72" s="10">
        <v>640093000</v>
      </c>
      <c r="V72" s="10">
        <v>773491000</v>
      </c>
      <c r="W72" s="10">
        <v>966587000</v>
      </c>
      <c r="X72" s="10">
        <v>1243985000</v>
      </c>
      <c r="Y72" s="10">
        <v>1668602000</v>
      </c>
    </row>
    <row r="73" spans="1:25" ht="20" thickBot="1" x14ac:dyDescent="0.3">
      <c r="A73" s="7" t="s">
        <v>64</v>
      </c>
      <c r="B73" s="11" t="s">
        <v>92</v>
      </c>
      <c r="C73" s="11" t="s">
        <v>92</v>
      </c>
      <c r="D73" s="11">
        <v>4346000</v>
      </c>
      <c r="E73" s="11">
        <v>21614247</v>
      </c>
      <c r="F73" s="11">
        <v>22603261</v>
      </c>
      <c r="G73" s="11">
        <v>71947687</v>
      </c>
      <c r="H73" s="11">
        <v>100775000</v>
      </c>
      <c r="I73" s="11">
        <v>117327000</v>
      </c>
      <c r="J73" s="11">
        <v>172499000</v>
      </c>
      <c r="K73" s="11">
        <v>195299000</v>
      </c>
      <c r="L73" s="11">
        <v>241821000</v>
      </c>
      <c r="M73" s="11">
        <v>281603000</v>
      </c>
      <c r="N73" s="11">
        <v>273867000</v>
      </c>
      <c r="O73" s="11">
        <v>287162000</v>
      </c>
      <c r="P73" s="11">
        <v>368908000</v>
      </c>
      <c r="Q73" s="11">
        <v>399366000</v>
      </c>
      <c r="R73" s="11">
        <v>431285000</v>
      </c>
      <c r="S73" s="11">
        <v>511126000</v>
      </c>
      <c r="T73" s="11">
        <v>652569000</v>
      </c>
      <c r="U73" s="11">
        <v>793432000</v>
      </c>
      <c r="V73" s="11">
        <v>956375000</v>
      </c>
      <c r="W73" s="11">
        <v>1208491000</v>
      </c>
      <c r="X73" s="11">
        <v>1585825000</v>
      </c>
      <c r="Y73" s="11">
        <v>2058885000</v>
      </c>
    </row>
    <row r="74" spans="1:25"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row>
    <row r="75" spans="1:25"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row>
    <row r="76" spans="1:25" ht="19" x14ac:dyDescent="0.25">
      <c r="A76" s="5" t="s">
        <v>66</v>
      </c>
      <c r="B76" s="1" t="s">
        <v>92</v>
      </c>
      <c r="C76" s="1" t="s">
        <v>92</v>
      </c>
      <c r="D76" s="1">
        <v>-3572603</v>
      </c>
      <c r="E76" s="1">
        <v>-3237528</v>
      </c>
      <c r="F76" s="1">
        <v>-3036210</v>
      </c>
      <c r="G76" s="1">
        <v>-4451025</v>
      </c>
      <c r="H76" s="1">
        <v>5107000</v>
      </c>
      <c r="I76" s="1">
        <v>-2863000</v>
      </c>
      <c r="J76" s="1">
        <v>9291000</v>
      </c>
      <c r="K76" s="1">
        <v>24226000</v>
      </c>
      <c r="L76" s="1">
        <v>19674000</v>
      </c>
      <c r="M76" s="1">
        <v>29563000</v>
      </c>
      <c r="N76" s="1">
        <v>13301000</v>
      </c>
      <c r="O76" s="1">
        <v>15756000</v>
      </c>
      <c r="P76" s="1">
        <v>22898000</v>
      </c>
      <c r="Q76" s="1">
        <v>35495000</v>
      </c>
      <c r="R76" s="1">
        <v>35172000</v>
      </c>
      <c r="S76" s="1">
        <v>52720000</v>
      </c>
      <c r="T76" s="1">
        <v>65203000</v>
      </c>
      <c r="U76" s="1">
        <v>105268000</v>
      </c>
      <c r="V76" s="1">
        <v>108839000</v>
      </c>
      <c r="W76" s="1">
        <v>164375000</v>
      </c>
      <c r="X76" s="1">
        <v>242023000</v>
      </c>
      <c r="Y76" s="1">
        <v>437672000</v>
      </c>
    </row>
    <row r="77" spans="1:25" ht="19" x14ac:dyDescent="0.25">
      <c r="A77" s="5" t="s">
        <v>13</v>
      </c>
      <c r="B77" s="1" t="s">
        <v>92</v>
      </c>
      <c r="C77" s="1" t="s">
        <v>92</v>
      </c>
      <c r="D77" s="1">
        <v>300000</v>
      </c>
      <c r="E77" s="1">
        <v>809105</v>
      </c>
      <c r="F77" s="1">
        <v>4074371</v>
      </c>
      <c r="G77" s="1">
        <v>13455436</v>
      </c>
      <c r="H77" s="1">
        <v>7103000</v>
      </c>
      <c r="I77" s="1">
        <v>14248000</v>
      </c>
      <c r="J77" s="1">
        <v>4184000</v>
      </c>
      <c r="K77" s="1">
        <v>5725000</v>
      </c>
      <c r="L77" s="1">
        <v>6573000</v>
      </c>
      <c r="M77" s="1">
        <v>8016000</v>
      </c>
      <c r="N77" s="1">
        <v>8732000</v>
      </c>
      <c r="O77" s="1">
        <v>9332000</v>
      </c>
      <c r="P77" s="1">
        <v>12160000</v>
      </c>
      <c r="Q77" s="1">
        <v>13130000</v>
      </c>
      <c r="R77" s="1">
        <v>13783000</v>
      </c>
      <c r="S77" s="1">
        <v>14674000</v>
      </c>
      <c r="T77" s="1">
        <v>16101000</v>
      </c>
      <c r="U77" s="1">
        <v>12311000</v>
      </c>
      <c r="V77" s="1">
        <v>14867000</v>
      </c>
      <c r="W77" s="1">
        <v>19186000</v>
      </c>
      <c r="X77" s="1">
        <v>28699000</v>
      </c>
      <c r="Y77" s="1">
        <v>37114000</v>
      </c>
    </row>
    <row r="78" spans="1:25" ht="19" x14ac:dyDescent="0.25">
      <c r="A78" s="5" t="s">
        <v>67</v>
      </c>
      <c r="B78" s="1" t="s">
        <v>92</v>
      </c>
      <c r="C78" s="1" t="s">
        <v>92</v>
      </c>
      <c r="D78" s="1" t="s">
        <v>92</v>
      </c>
      <c r="E78" s="1" t="s">
        <v>92</v>
      </c>
      <c r="F78" s="1" t="s">
        <v>92</v>
      </c>
      <c r="G78" s="1">
        <v>-1464253</v>
      </c>
      <c r="H78" s="1">
        <v>-1639000</v>
      </c>
      <c r="I78" s="1">
        <v>1921000</v>
      </c>
      <c r="J78" s="1">
        <v>2048000</v>
      </c>
      <c r="K78" s="1">
        <v>710000</v>
      </c>
      <c r="L78" s="1">
        <v>-84000</v>
      </c>
      <c r="M78" s="1">
        <v>-56000</v>
      </c>
      <c r="N78" s="1">
        <v>1555000</v>
      </c>
      <c r="O78" s="1">
        <v>-8000</v>
      </c>
      <c r="P78" s="1">
        <v>-81000</v>
      </c>
      <c r="Q78" s="1">
        <v>17000</v>
      </c>
      <c r="R78" s="1">
        <v>42000</v>
      </c>
      <c r="S78" s="1">
        <v>-5000</v>
      </c>
      <c r="T78" s="1">
        <v>-15238000</v>
      </c>
      <c r="U78" s="1">
        <v>-843000</v>
      </c>
      <c r="V78" s="1">
        <v>-577000</v>
      </c>
      <c r="W78" s="1">
        <v>-1627000</v>
      </c>
      <c r="X78" s="1">
        <v>-2772000</v>
      </c>
      <c r="Y78" s="1">
        <v>-13220000</v>
      </c>
    </row>
    <row r="79" spans="1:25" ht="19" x14ac:dyDescent="0.25">
      <c r="A79" s="5" t="s">
        <v>68</v>
      </c>
      <c r="B79" s="1" t="s">
        <v>92</v>
      </c>
      <c r="C79" s="1" t="s">
        <v>92</v>
      </c>
      <c r="D79" s="1" t="s">
        <v>92</v>
      </c>
      <c r="E79" s="1" t="s">
        <v>92</v>
      </c>
      <c r="F79" s="1" t="s">
        <v>92</v>
      </c>
      <c r="G79" s="1" t="s">
        <v>92</v>
      </c>
      <c r="H79" s="1" t="s">
        <v>92</v>
      </c>
      <c r="I79" s="1" t="s">
        <v>92</v>
      </c>
      <c r="J79" s="1" t="s">
        <v>92</v>
      </c>
      <c r="K79" s="1">
        <v>13158000</v>
      </c>
      <c r="L79" s="1">
        <v>14611000</v>
      </c>
      <c r="M79" s="1">
        <v>16810000</v>
      </c>
      <c r="N79" s="1">
        <v>13126000</v>
      </c>
      <c r="O79" s="1">
        <v>18652000</v>
      </c>
      <c r="P79" s="1">
        <v>20701000</v>
      </c>
      <c r="Q79" s="1">
        <v>33454000</v>
      </c>
      <c r="R79" s="1">
        <v>41563000</v>
      </c>
      <c r="S79" s="1">
        <v>44989000</v>
      </c>
      <c r="T79" s="1">
        <v>52617000</v>
      </c>
      <c r="U79" s="1">
        <v>60607000</v>
      </c>
      <c r="V79" s="1">
        <v>78699000</v>
      </c>
      <c r="W79" s="1">
        <v>85551000</v>
      </c>
      <c r="X79" s="1">
        <v>123479000</v>
      </c>
      <c r="Y79" s="1">
        <v>160992000</v>
      </c>
    </row>
    <row r="80" spans="1:25" ht="19" x14ac:dyDescent="0.25">
      <c r="A80" s="14" t="s">
        <v>104</v>
      </c>
      <c r="B80" s="15" t="e">
        <f t="shared" ref="B80:Y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f t="shared" si="6"/>
        <v>8.19756901396166E-2</v>
      </c>
      <c r="L80" s="15">
        <f t="shared" si="6"/>
        <v>8.854722195287501E-2</v>
      </c>
      <c r="M80" s="15">
        <f t="shared" si="6"/>
        <v>7.6814110765856328E-2</v>
      </c>
      <c r="N80" s="15">
        <f t="shared" si="6"/>
        <v>6.6792523878098295E-2</v>
      </c>
      <c r="O80" s="15">
        <f t="shared" si="6"/>
        <v>8.723510731340002E-2</v>
      </c>
      <c r="P80" s="15">
        <f t="shared" si="6"/>
        <v>8.6945747634307888E-2</v>
      </c>
      <c r="Q80" s="15">
        <f t="shared" si="6"/>
        <v>0.11840656909763392</v>
      </c>
      <c r="R80" s="15">
        <f t="shared" si="6"/>
        <v>0.12478870617623482</v>
      </c>
      <c r="S80" s="15">
        <f t="shared" si="6"/>
        <v>0.11575264044871547</v>
      </c>
      <c r="T80" s="15">
        <f t="shared" si="6"/>
        <v>0.11173021835563322</v>
      </c>
      <c r="U80" s="15">
        <f t="shared" si="6"/>
        <v>0.10406743340281809</v>
      </c>
      <c r="V80" s="15">
        <f t="shared" si="6"/>
        <v>0.12533264534869831</v>
      </c>
      <c r="W80" s="15">
        <f t="shared" si="6"/>
        <v>0.10130948828352589</v>
      </c>
      <c r="X80" s="15">
        <f t="shared" si="6"/>
        <v>0.10223481078789665</v>
      </c>
      <c r="Y80" s="15">
        <f t="shared" si="6"/>
        <v>8.9731727817326107E-2</v>
      </c>
    </row>
    <row r="81" spans="1:33" ht="19" x14ac:dyDescent="0.25">
      <c r="A81" s="5" t="s">
        <v>69</v>
      </c>
      <c r="B81" s="1" t="s">
        <v>92</v>
      </c>
      <c r="C81" s="1" t="s">
        <v>92</v>
      </c>
      <c r="D81" s="1">
        <v>500000</v>
      </c>
      <c r="E81" s="1">
        <v>71203</v>
      </c>
      <c r="F81" s="1">
        <v>-3990977</v>
      </c>
      <c r="G81" s="1">
        <v>-4486782</v>
      </c>
      <c r="H81" s="1">
        <v>5278000</v>
      </c>
      <c r="I81" s="1">
        <v>-2136000</v>
      </c>
      <c r="J81" s="1">
        <v>-3452000</v>
      </c>
      <c r="K81" s="1">
        <v>-5579000</v>
      </c>
      <c r="L81" s="1">
        <v>-11122000</v>
      </c>
      <c r="M81" s="1">
        <v>-8621000</v>
      </c>
      <c r="N81" s="1">
        <v>6589000</v>
      </c>
      <c r="O81" s="1">
        <v>-21255000</v>
      </c>
      <c r="P81" s="1">
        <v>4534000</v>
      </c>
      <c r="Q81" s="1">
        <v>-8049000</v>
      </c>
      <c r="R81" s="1">
        <v>-12646000</v>
      </c>
      <c r="S81" s="1">
        <v>-2946000</v>
      </c>
      <c r="T81" s="1">
        <v>15696000</v>
      </c>
      <c r="U81" s="1">
        <v>-37522000</v>
      </c>
      <c r="V81" s="1">
        <v>17811000</v>
      </c>
      <c r="W81" s="1">
        <v>3003000</v>
      </c>
      <c r="X81" s="1">
        <v>-71640000</v>
      </c>
      <c r="Y81" s="1">
        <v>-386956000</v>
      </c>
    </row>
    <row r="82" spans="1:33" ht="19" x14ac:dyDescent="0.25">
      <c r="A82" s="5" t="s">
        <v>70</v>
      </c>
      <c r="B82" s="1" t="s">
        <v>92</v>
      </c>
      <c r="C82" s="1" t="s">
        <v>92</v>
      </c>
      <c r="D82" s="1" t="s">
        <v>92</v>
      </c>
      <c r="E82" s="1" t="s">
        <v>92</v>
      </c>
      <c r="F82" s="1" t="s">
        <v>92</v>
      </c>
      <c r="G82" s="1" t="s">
        <v>92</v>
      </c>
      <c r="H82" s="1" t="s">
        <v>92</v>
      </c>
      <c r="I82" s="1" t="s">
        <v>92</v>
      </c>
      <c r="J82" s="1" t="s">
        <v>92</v>
      </c>
      <c r="K82" s="1">
        <v>-876000</v>
      </c>
      <c r="L82" s="1">
        <v>-6406000</v>
      </c>
      <c r="M82" s="1">
        <v>-2826000</v>
      </c>
      <c r="N82" s="1">
        <v>3250000</v>
      </c>
      <c r="O82" s="1">
        <v>-4286000</v>
      </c>
      <c r="P82" s="1">
        <v>-4347000</v>
      </c>
      <c r="Q82" s="1">
        <v>-1870000</v>
      </c>
      <c r="R82" s="1">
        <v>-5201000</v>
      </c>
      <c r="S82" s="1">
        <v>-3421000</v>
      </c>
      <c r="T82" s="1">
        <v>-3785000</v>
      </c>
      <c r="U82" s="1">
        <v>-18079000</v>
      </c>
      <c r="V82" s="1">
        <v>2512000</v>
      </c>
      <c r="W82" s="1">
        <v>-14123000</v>
      </c>
      <c r="X82" s="1">
        <v>-37976000</v>
      </c>
      <c r="Y82" s="1">
        <v>-77903000</v>
      </c>
    </row>
    <row r="83" spans="1:33" ht="21" x14ac:dyDescent="0.25">
      <c r="A83" s="5" t="s">
        <v>34</v>
      </c>
      <c r="B83" s="1" t="s">
        <v>92</v>
      </c>
      <c r="C83" s="1" t="s">
        <v>92</v>
      </c>
      <c r="D83" s="1" t="s">
        <v>92</v>
      </c>
      <c r="E83" s="1">
        <v>-700505</v>
      </c>
      <c r="F83" s="1">
        <v>-331662</v>
      </c>
      <c r="G83" s="1">
        <v>-3799664</v>
      </c>
      <c r="H83" s="1">
        <v>-766000</v>
      </c>
      <c r="I83" s="1">
        <v>-572000</v>
      </c>
      <c r="J83" s="1">
        <v>-10747000</v>
      </c>
      <c r="K83" s="1">
        <v>-1356000</v>
      </c>
      <c r="L83" s="1">
        <v>-737000</v>
      </c>
      <c r="M83" s="1">
        <v>-6184000</v>
      </c>
      <c r="N83" s="1">
        <v>5699000</v>
      </c>
      <c r="O83" s="1">
        <v>-12004000</v>
      </c>
      <c r="P83" s="1">
        <v>-7606000</v>
      </c>
      <c r="Q83" s="1">
        <v>-1142000</v>
      </c>
      <c r="R83" s="1">
        <v>-22210000</v>
      </c>
      <c r="S83" s="1">
        <v>-8323000</v>
      </c>
      <c r="T83" s="1">
        <v>-27795000</v>
      </c>
      <c r="U83" s="1">
        <v>-37060000</v>
      </c>
      <c r="V83" s="1">
        <v>8865000</v>
      </c>
      <c r="W83" s="1">
        <v>-29503000</v>
      </c>
      <c r="X83" s="1">
        <v>-102323000</v>
      </c>
      <c r="Y83" s="1">
        <v>-188073000</v>
      </c>
      <c r="AF83" s="59" t="s">
        <v>126</v>
      </c>
      <c r="AG83" s="60"/>
    </row>
    <row r="84" spans="1:33" ht="19" x14ac:dyDescent="0.25">
      <c r="A84" s="5" t="s">
        <v>47</v>
      </c>
      <c r="B84" s="1" t="s">
        <v>92</v>
      </c>
      <c r="C84" s="1" t="s">
        <v>92</v>
      </c>
      <c r="D84" s="1" t="s">
        <v>92</v>
      </c>
      <c r="E84" s="1" t="s">
        <v>92</v>
      </c>
      <c r="F84" s="1" t="s">
        <v>92</v>
      </c>
      <c r="G84" s="1" t="s">
        <v>92</v>
      </c>
      <c r="H84" s="1" t="s">
        <v>92</v>
      </c>
      <c r="I84" s="1" t="s">
        <v>92</v>
      </c>
      <c r="J84" s="1" t="s">
        <v>92</v>
      </c>
      <c r="K84" s="1">
        <v>-1382000</v>
      </c>
      <c r="L84" s="1">
        <v>2699000</v>
      </c>
      <c r="M84" s="1">
        <v>1155000</v>
      </c>
      <c r="N84" s="1">
        <v>-957000</v>
      </c>
      <c r="O84" s="1">
        <v>754000</v>
      </c>
      <c r="P84" s="1">
        <v>1440000</v>
      </c>
      <c r="Q84" s="1">
        <v>1632000</v>
      </c>
      <c r="R84" s="1">
        <v>147000</v>
      </c>
      <c r="S84" s="1">
        <v>5483000</v>
      </c>
      <c r="T84" s="1">
        <v>3077000</v>
      </c>
      <c r="U84" s="1">
        <v>871000</v>
      </c>
      <c r="V84" s="1">
        <v>3048000</v>
      </c>
      <c r="W84" s="1">
        <v>10410000</v>
      </c>
      <c r="X84" s="1">
        <v>32926000</v>
      </c>
      <c r="Y84" s="1">
        <v>-11240000</v>
      </c>
      <c r="AF84" s="61" t="s">
        <v>127</v>
      </c>
      <c r="AG84" s="62"/>
    </row>
    <row r="85" spans="1:33" ht="20" x14ac:dyDescent="0.25">
      <c r="A85" s="5" t="s">
        <v>71</v>
      </c>
      <c r="B85" s="1" t="s">
        <v>92</v>
      </c>
      <c r="C85" s="1" t="s">
        <v>92</v>
      </c>
      <c r="D85" s="1" t="s">
        <v>92</v>
      </c>
      <c r="E85" s="1">
        <v>17567751</v>
      </c>
      <c r="F85" s="1">
        <v>16743158</v>
      </c>
      <c r="G85" s="1">
        <v>52051467</v>
      </c>
      <c r="H85" s="1">
        <v>65450000</v>
      </c>
      <c r="I85" s="1">
        <v>-1370000</v>
      </c>
      <c r="J85" s="1">
        <v>-227000</v>
      </c>
      <c r="K85" s="1">
        <v>117365000</v>
      </c>
      <c r="L85" s="1">
        <v>179577000</v>
      </c>
      <c r="M85" s="1">
        <v>195403000</v>
      </c>
      <c r="N85" s="1">
        <v>185435000</v>
      </c>
      <c r="O85" s="1">
        <v>-3730000</v>
      </c>
      <c r="P85" s="1">
        <v>2691000</v>
      </c>
      <c r="Q85" s="1">
        <v>-1290000</v>
      </c>
      <c r="R85" s="1">
        <v>1068000</v>
      </c>
      <c r="S85" s="1">
        <v>3136000</v>
      </c>
      <c r="T85" s="1">
        <v>2397000</v>
      </c>
      <c r="U85" s="1">
        <v>3806000</v>
      </c>
      <c r="V85" s="1">
        <v>7496000</v>
      </c>
      <c r="W85" s="1">
        <v>18524000</v>
      </c>
      <c r="X85" s="1">
        <v>16536000</v>
      </c>
      <c r="Y85" s="1">
        <v>28514000</v>
      </c>
      <c r="AF85" s="23" t="s">
        <v>128</v>
      </c>
      <c r="AG85" s="24">
        <f>Y17</f>
        <v>14369000</v>
      </c>
    </row>
    <row r="86" spans="1:33" ht="20" x14ac:dyDescent="0.25">
      <c r="A86" s="5" t="s">
        <v>72</v>
      </c>
      <c r="B86" s="1" t="s">
        <v>92</v>
      </c>
      <c r="C86" s="1" t="s">
        <v>92</v>
      </c>
      <c r="D86" s="1">
        <v>372603</v>
      </c>
      <c r="E86" s="1">
        <v>4365</v>
      </c>
      <c r="F86" s="1" t="s">
        <v>92</v>
      </c>
      <c r="G86" s="1">
        <v>60686</v>
      </c>
      <c r="H86" s="1">
        <v>1362000</v>
      </c>
      <c r="I86" s="1">
        <v>649000</v>
      </c>
      <c r="J86" s="1">
        <v>12273000</v>
      </c>
      <c r="K86" s="1">
        <v>1350000</v>
      </c>
      <c r="L86" s="1">
        <v>2112000</v>
      </c>
      <c r="M86" s="1">
        <v>2782000</v>
      </c>
      <c r="N86" s="1">
        <v>382000</v>
      </c>
      <c r="O86" s="1">
        <v>2435000</v>
      </c>
      <c r="P86" s="1">
        <v>474000</v>
      </c>
      <c r="Q86" s="1">
        <v>86000</v>
      </c>
      <c r="R86" s="1">
        <v>-8178000</v>
      </c>
      <c r="S86" s="1">
        <v>-1646000</v>
      </c>
      <c r="T86" s="1">
        <v>-558000</v>
      </c>
      <c r="U86" s="1">
        <v>1630000</v>
      </c>
      <c r="V86" s="1">
        <v>-3336000</v>
      </c>
      <c r="W86" s="1">
        <v>-2685000</v>
      </c>
      <c r="X86" s="1">
        <v>221000</v>
      </c>
      <c r="Y86" s="1">
        <v>11072000</v>
      </c>
      <c r="AF86" s="23" t="s">
        <v>129</v>
      </c>
      <c r="AG86" s="24">
        <f>Y56</f>
        <v>0</v>
      </c>
    </row>
    <row r="87" spans="1:33" ht="20" x14ac:dyDescent="0.25">
      <c r="A87" s="6" t="s">
        <v>73</v>
      </c>
      <c r="B87" s="10" t="s">
        <v>92</v>
      </c>
      <c r="C87" s="10" t="s">
        <v>92</v>
      </c>
      <c r="D87" s="10">
        <v>-2400000</v>
      </c>
      <c r="E87" s="10">
        <v>-2352855</v>
      </c>
      <c r="F87" s="10">
        <v>-2952816</v>
      </c>
      <c r="G87" s="10">
        <v>3114062</v>
      </c>
      <c r="H87" s="10">
        <v>17211000</v>
      </c>
      <c r="I87" s="10">
        <v>11819000</v>
      </c>
      <c r="J87" s="10">
        <v>24344000</v>
      </c>
      <c r="K87" s="10">
        <v>39590000</v>
      </c>
      <c r="L87" s="10">
        <v>31764000</v>
      </c>
      <c r="M87" s="10">
        <v>48494000</v>
      </c>
      <c r="N87" s="10">
        <v>43685000</v>
      </c>
      <c r="O87" s="10">
        <v>24912000</v>
      </c>
      <c r="P87" s="10">
        <v>60686000</v>
      </c>
      <c r="Q87" s="10">
        <v>74133000</v>
      </c>
      <c r="R87" s="10">
        <v>69736000</v>
      </c>
      <c r="S87" s="10">
        <v>107786000</v>
      </c>
      <c r="T87" s="10">
        <v>133821000</v>
      </c>
      <c r="U87" s="10">
        <v>141451000</v>
      </c>
      <c r="V87" s="10">
        <v>216303000</v>
      </c>
      <c r="W87" s="10">
        <v>267803000</v>
      </c>
      <c r="X87" s="10">
        <v>320010000</v>
      </c>
      <c r="Y87" s="10">
        <v>246674000</v>
      </c>
      <c r="AF87" s="23" t="s">
        <v>130</v>
      </c>
      <c r="AG87" s="24">
        <f>Y61</f>
        <v>0</v>
      </c>
    </row>
    <row r="88" spans="1:33" ht="20" x14ac:dyDescent="0.25">
      <c r="A88" s="5" t="s">
        <v>74</v>
      </c>
      <c r="B88" s="1" t="s">
        <v>92</v>
      </c>
      <c r="C88" s="1" t="s">
        <v>92</v>
      </c>
      <c r="D88" s="1">
        <v>-500000</v>
      </c>
      <c r="E88" s="1">
        <v>-1074536</v>
      </c>
      <c r="F88" s="1">
        <v>-1634348</v>
      </c>
      <c r="G88" s="1">
        <v>-3218678</v>
      </c>
      <c r="H88" s="1">
        <v>-1878000</v>
      </c>
      <c r="I88" s="1">
        <v>-7474000</v>
      </c>
      <c r="J88" s="1">
        <v>-6653000</v>
      </c>
      <c r="K88" s="1">
        <v>-5233000</v>
      </c>
      <c r="L88" s="1">
        <v>-9954000</v>
      </c>
      <c r="M88" s="1">
        <v>-22779000</v>
      </c>
      <c r="N88" s="1">
        <v>-21022000</v>
      </c>
      <c r="O88" s="1">
        <v>-21059000</v>
      </c>
      <c r="P88" s="1">
        <v>-15764000</v>
      </c>
      <c r="Q88" s="1">
        <v>-9511000</v>
      </c>
      <c r="R88" s="1">
        <v>-16024000</v>
      </c>
      <c r="S88" s="1">
        <v>-37112000</v>
      </c>
      <c r="T88" s="1">
        <v>-65773000</v>
      </c>
      <c r="U88" s="1">
        <v>-22526000</v>
      </c>
      <c r="V88" s="1">
        <v>-96787000</v>
      </c>
      <c r="W88" s="1">
        <v>-55639000</v>
      </c>
      <c r="X88" s="1">
        <v>-94445000</v>
      </c>
      <c r="Y88" s="1">
        <v>-58843000</v>
      </c>
      <c r="AF88" s="33" t="s">
        <v>131</v>
      </c>
      <c r="AG88" s="34" t="e">
        <f>AG85/(AG86+AG87)</f>
        <v>#DIV/0!</v>
      </c>
    </row>
    <row r="89" spans="1:33" ht="20" customHeight="1" x14ac:dyDescent="0.25">
      <c r="A89" s="14" t="s">
        <v>105</v>
      </c>
      <c r="B89" s="15" t="e">
        <f t="shared" ref="B89:Y89" si="7">(-1*B88)/B3</f>
        <v>#VALUE!</v>
      </c>
      <c r="C89" s="15" t="e">
        <f t="shared" si="7"/>
        <v>#VALUE!</v>
      </c>
      <c r="D89" s="15">
        <f t="shared" si="7"/>
        <v>6.1497929672197582E-2</v>
      </c>
      <c r="E89" s="15">
        <f t="shared" si="7"/>
        <v>8.803630398863603E-2</v>
      </c>
      <c r="F89" s="15">
        <f t="shared" si="7"/>
        <v>6.7522956945184731E-2</v>
      </c>
      <c r="G89" s="15">
        <f t="shared" si="7"/>
        <v>6.7626333912658418E-2</v>
      </c>
      <c r="H89" s="15">
        <f t="shared" si="7"/>
        <v>1.8944628824484774E-2</v>
      </c>
      <c r="I89" s="15">
        <f t="shared" si="7"/>
        <v>7.1170785125934388E-2</v>
      </c>
      <c r="J89" s="15">
        <f t="shared" si="7"/>
        <v>4.9647771708307212E-2</v>
      </c>
      <c r="K89" s="15">
        <f t="shared" si="7"/>
        <v>3.2602126957030984E-2</v>
      </c>
      <c r="L89" s="15">
        <f t="shared" si="7"/>
        <v>6.0324347910404343E-2</v>
      </c>
      <c r="M89" s="15">
        <f t="shared" si="7"/>
        <v>0.10408974593310182</v>
      </c>
      <c r="N89" s="15">
        <f t="shared" si="7"/>
        <v>0.10697184496155589</v>
      </c>
      <c r="O89" s="15">
        <f t="shared" si="7"/>
        <v>9.8492608026640102E-2</v>
      </c>
      <c r="P89" s="15">
        <f t="shared" si="7"/>
        <v>6.6209978537617967E-2</v>
      </c>
      <c r="Q89" s="15">
        <f t="shared" si="7"/>
        <v>3.3663085989346454E-2</v>
      </c>
      <c r="R89" s="15">
        <f t="shared" si="7"/>
        <v>4.8110440241753163E-2</v>
      </c>
      <c r="S89" s="15">
        <f t="shared" si="7"/>
        <v>9.548582969909819E-2</v>
      </c>
      <c r="T89" s="15">
        <f t="shared" si="7"/>
        <v>0.13966648900365022</v>
      </c>
      <c r="U89" s="15">
        <f t="shared" si="7"/>
        <v>3.8679080053985182E-2</v>
      </c>
      <c r="V89" s="15">
        <f t="shared" si="7"/>
        <v>0.15413881682568348</v>
      </c>
      <c r="W89" s="15">
        <f t="shared" si="7"/>
        <v>6.5887699952158318E-2</v>
      </c>
      <c r="X89" s="15">
        <f t="shared" si="7"/>
        <v>7.8196022844879684E-2</v>
      </c>
      <c r="Y89" s="15">
        <f t="shared" si="7"/>
        <v>3.279718284110341E-2</v>
      </c>
      <c r="AF89" s="23" t="s">
        <v>106</v>
      </c>
      <c r="AG89" s="24">
        <f>Y27</f>
        <v>87265000</v>
      </c>
    </row>
    <row r="90" spans="1:33"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v>-11590000</v>
      </c>
      <c r="R90" s="1" t="s">
        <v>92</v>
      </c>
      <c r="S90" s="1" t="s">
        <v>92</v>
      </c>
      <c r="T90" s="1" t="s">
        <v>92</v>
      </c>
      <c r="U90" s="1" t="s">
        <v>92</v>
      </c>
      <c r="V90" s="1" t="s">
        <v>92</v>
      </c>
      <c r="W90" s="1" t="s">
        <v>92</v>
      </c>
      <c r="X90" s="1" t="s">
        <v>92</v>
      </c>
      <c r="Y90" s="1" t="s">
        <v>92</v>
      </c>
      <c r="AF90" s="23" t="s">
        <v>19</v>
      </c>
      <c r="AG90" s="24">
        <f>Y25</f>
        <v>524937000</v>
      </c>
    </row>
    <row r="91" spans="1:33" ht="20" x14ac:dyDescent="0.25">
      <c r="A91" s="5" t="s">
        <v>76</v>
      </c>
      <c r="B91" s="1" t="s">
        <v>92</v>
      </c>
      <c r="C91" s="1" t="s">
        <v>92</v>
      </c>
      <c r="D91" s="1" t="s">
        <v>92</v>
      </c>
      <c r="E91" s="1" t="s">
        <v>92</v>
      </c>
      <c r="F91" s="1">
        <v>-3503930</v>
      </c>
      <c r="G91" s="1">
        <v>-17000000</v>
      </c>
      <c r="H91" s="1">
        <v>-194059000</v>
      </c>
      <c r="I91" s="1">
        <v>-87294000</v>
      </c>
      <c r="J91" s="1">
        <v>-58776000</v>
      </c>
      <c r="K91" s="1">
        <v>-64658000</v>
      </c>
      <c r="L91" s="1">
        <v>-159917000</v>
      </c>
      <c r="M91" s="1">
        <v>-208621000</v>
      </c>
      <c r="N91" s="1">
        <v>-78250000</v>
      </c>
      <c r="O91" s="1">
        <v>-143094000</v>
      </c>
      <c r="P91" s="1">
        <v>-125756000</v>
      </c>
      <c r="Q91" s="1">
        <v>-136872000</v>
      </c>
      <c r="R91" s="1">
        <v>-223018000</v>
      </c>
      <c r="S91" s="1">
        <v>-236912000</v>
      </c>
      <c r="T91" s="1">
        <v>-140531000</v>
      </c>
      <c r="U91" s="1">
        <v>-99199000</v>
      </c>
      <c r="V91" s="1">
        <v>-212562000</v>
      </c>
      <c r="W91" s="1">
        <v>-338263000</v>
      </c>
      <c r="X91" s="1">
        <v>-394886000</v>
      </c>
      <c r="Y91" s="1">
        <v>-65785000</v>
      </c>
      <c r="AF91" s="33" t="s">
        <v>132</v>
      </c>
      <c r="AG91" s="34">
        <f>AG89/AG90</f>
        <v>0.16623899629860345</v>
      </c>
    </row>
    <row r="92" spans="1:33" ht="20" x14ac:dyDescent="0.25">
      <c r="A92" s="5" t="s">
        <v>77</v>
      </c>
      <c r="B92" s="1" t="s">
        <v>92</v>
      </c>
      <c r="C92" s="1" t="s">
        <v>92</v>
      </c>
      <c r="D92" s="1" t="s">
        <v>92</v>
      </c>
      <c r="E92" s="1" t="s">
        <v>92</v>
      </c>
      <c r="F92" s="1">
        <v>2490642</v>
      </c>
      <c r="G92" s="1">
        <v>1500000</v>
      </c>
      <c r="H92" s="1">
        <v>172245000</v>
      </c>
      <c r="I92" s="1">
        <v>98434000</v>
      </c>
      <c r="J92" s="1">
        <v>58774000</v>
      </c>
      <c r="K92" s="1">
        <v>31710000</v>
      </c>
      <c r="L92" s="1">
        <v>80686000</v>
      </c>
      <c r="M92" s="1">
        <v>197668000</v>
      </c>
      <c r="N92" s="1">
        <v>135494000</v>
      </c>
      <c r="O92" s="1">
        <v>137283000</v>
      </c>
      <c r="P92" s="1">
        <v>87725000</v>
      </c>
      <c r="Q92" s="1">
        <v>153941000</v>
      </c>
      <c r="R92" s="1">
        <v>189549000</v>
      </c>
      <c r="S92" s="1">
        <v>223344000</v>
      </c>
      <c r="T92" s="1">
        <v>77502000</v>
      </c>
      <c r="U92" s="1">
        <v>111131000</v>
      </c>
      <c r="V92" s="1">
        <v>136051000</v>
      </c>
      <c r="W92" s="1">
        <v>357392000</v>
      </c>
      <c r="X92" s="1">
        <v>113755000</v>
      </c>
      <c r="Y92" s="1">
        <v>128610000</v>
      </c>
      <c r="AF92" s="35" t="s">
        <v>133</v>
      </c>
      <c r="AG92" s="36">
        <f>0</f>
        <v>0</v>
      </c>
    </row>
    <row r="93" spans="1:33" ht="19" x14ac:dyDescent="0.25">
      <c r="A93" s="5" t="s">
        <v>78</v>
      </c>
      <c r="B93" s="1" t="s">
        <v>92</v>
      </c>
      <c r="C93" s="1" t="s">
        <v>92</v>
      </c>
      <c r="D93" s="1" t="s">
        <v>92</v>
      </c>
      <c r="E93" s="1" t="s">
        <v>92</v>
      </c>
      <c r="F93" s="1" t="s">
        <v>92</v>
      </c>
      <c r="G93" s="1">
        <v>34200</v>
      </c>
      <c r="H93" s="1">
        <v>-2897000</v>
      </c>
      <c r="I93" s="1">
        <v>2939000</v>
      </c>
      <c r="J93" s="1">
        <v>-7292000</v>
      </c>
      <c r="K93" s="1">
        <v>8566000</v>
      </c>
      <c r="L93" s="1">
        <v>7057000</v>
      </c>
      <c r="M93" s="1">
        <v>-19000</v>
      </c>
      <c r="N93" s="1" t="s">
        <v>92</v>
      </c>
      <c r="O93" s="1">
        <v>33000</v>
      </c>
      <c r="P93" s="1">
        <v>-529000</v>
      </c>
      <c r="Q93" s="1">
        <v>-5335000</v>
      </c>
      <c r="R93" s="1">
        <v>-7704000</v>
      </c>
      <c r="S93" s="1">
        <v>-5046000</v>
      </c>
      <c r="T93" s="1">
        <v>-5258000</v>
      </c>
      <c r="U93" s="1">
        <v>-4146000</v>
      </c>
      <c r="V93" s="1">
        <v>6186000</v>
      </c>
      <c r="W93" s="1">
        <v>-2667000</v>
      </c>
      <c r="X93" s="1">
        <v>-3310000</v>
      </c>
      <c r="Y93" s="1">
        <v>-16492000</v>
      </c>
      <c r="AF93" s="61" t="s">
        <v>134</v>
      </c>
      <c r="AG93" s="62"/>
    </row>
    <row r="94" spans="1:33" ht="20" x14ac:dyDescent="0.25">
      <c r="A94" s="6" t="s">
        <v>79</v>
      </c>
      <c r="B94" s="10" t="s">
        <v>92</v>
      </c>
      <c r="C94" s="10" t="s">
        <v>92</v>
      </c>
      <c r="D94" s="10">
        <v>-500000</v>
      </c>
      <c r="E94" s="10">
        <v>-1074536</v>
      </c>
      <c r="F94" s="10">
        <v>-2647636</v>
      </c>
      <c r="G94" s="10">
        <v>-18684478</v>
      </c>
      <c r="H94" s="10">
        <v>-26589000</v>
      </c>
      <c r="I94" s="10">
        <v>6605000</v>
      </c>
      <c r="J94" s="10">
        <v>-13947000</v>
      </c>
      <c r="K94" s="10">
        <v>-29615000</v>
      </c>
      <c r="L94" s="10">
        <v>-82128000</v>
      </c>
      <c r="M94" s="10">
        <v>-33751000</v>
      </c>
      <c r="N94" s="10">
        <v>36222000</v>
      </c>
      <c r="O94" s="10">
        <v>-26837000</v>
      </c>
      <c r="P94" s="10">
        <v>-54324000</v>
      </c>
      <c r="Q94" s="10">
        <v>-9367000</v>
      </c>
      <c r="R94" s="10">
        <v>-57197000</v>
      </c>
      <c r="S94" s="10">
        <v>-55726000</v>
      </c>
      <c r="T94" s="10">
        <v>-134060000</v>
      </c>
      <c r="U94" s="10">
        <v>-14740000</v>
      </c>
      <c r="V94" s="10">
        <v>-167112000</v>
      </c>
      <c r="W94" s="10">
        <v>-39177000</v>
      </c>
      <c r="X94" s="10">
        <v>-378886000</v>
      </c>
      <c r="Y94" s="10">
        <v>-12510000</v>
      </c>
      <c r="AF94" s="23" t="s">
        <v>135</v>
      </c>
      <c r="AG94" s="37">
        <v>4.095E-2</v>
      </c>
    </row>
    <row r="95" spans="1:33"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AF95" s="23" t="s">
        <v>136</v>
      </c>
      <c r="AG95" s="38" cm="1">
        <f t="array" ref="AG95">_FV(A1,"Beta")</f>
        <v>1.1389</v>
      </c>
    </row>
    <row r="96" spans="1:33" ht="20" x14ac:dyDescent="0.25">
      <c r="A96" s="5" t="s">
        <v>81</v>
      </c>
      <c r="B96" s="1" t="s">
        <v>92</v>
      </c>
      <c r="C96" s="1" t="s">
        <v>92</v>
      </c>
      <c r="D96" s="1" t="s">
        <v>92</v>
      </c>
      <c r="E96" s="1" t="s">
        <v>92</v>
      </c>
      <c r="F96" s="1">
        <v>481584</v>
      </c>
      <c r="G96" s="1">
        <v>35718540</v>
      </c>
      <c r="H96" s="1">
        <v>2722000</v>
      </c>
      <c r="I96" s="1">
        <v>5331000</v>
      </c>
      <c r="J96" s="1">
        <v>17294000</v>
      </c>
      <c r="K96" s="1">
        <v>14493000</v>
      </c>
      <c r="L96" s="1">
        <v>12975000</v>
      </c>
      <c r="M96" s="1">
        <v>16224000</v>
      </c>
      <c r="N96" s="1">
        <v>6470000</v>
      </c>
      <c r="O96" s="1">
        <v>13390000</v>
      </c>
      <c r="P96" s="1">
        <v>37877000</v>
      </c>
      <c r="Q96" s="1" t="s">
        <v>92</v>
      </c>
      <c r="R96" s="1" t="s">
        <v>92</v>
      </c>
      <c r="S96" s="1" t="s">
        <v>92</v>
      </c>
      <c r="T96" s="1" t="s">
        <v>92</v>
      </c>
      <c r="U96" s="1" t="s">
        <v>92</v>
      </c>
      <c r="V96" s="1" t="s">
        <v>92</v>
      </c>
      <c r="W96" s="1" t="s">
        <v>92</v>
      </c>
      <c r="X96" s="1" t="s">
        <v>92</v>
      </c>
      <c r="Y96" s="1" t="s">
        <v>92</v>
      </c>
      <c r="AF96" s="23" t="s">
        <v>137</v>
      </c>
      <c r="AG96" s="37">
        <v>8.4000000000000005E-2</v>
      </c>
    </row>
    <row r="97" spans="1:33" ht="20" x14ac:dyDescent="0.25">
      <c r="A97" s="5" t="s">
        <v>82</v>
      </c>
      <c r="B97" s="1" t="s">
        <v>92</v>
      </c>
      <c r="C97" s="1" t="s">
        <v>92</v>
      </c>
      <c r="D97" s="1">
        <v>4900000</v>
      </c>
      <c r="E97" s="1" t="s">
        <v>92</v>
      </c>
      <c r="F97" s="1" t="s">
        <v>92</v>
      </c>
      <c r="G97" s="1" t="s">
        <v>92</v>
      </c>
      <c r="H97" s="1" t="s">
        <v>92</v>
      </c>
      <c r="I97" s="1" t="s">
        <v>92</v>
      </c>
      <c r="J97" s="1" t="s">
        <v>92</v>
      </c>
      <c r="K97" s="1">
        <v>-25043000</v>
      </c>
      <c r="L97" s="1" t="s">
        <v>92</v>
      </c>
      <c r="M97" s="1">
        <v>-31527000</v>
      </c>
      <c r="N97" s="1">
        <v>-38472000</v>
      </c>
      <c r="O97" s="1" t="s">
        <v>92</v>
      </c>
      <c r="P97" s="1">
        <v>-20615000</v>
      </c>
      <c r="Q97" s="1">
        <v>-41198000</v>
      </c>
      <c r="R97" s="1">
        <v>-32286000</v>
      </c>
      <c r="S97" s="1" t="s">
        <v>92</v>
      </c>
      <c r="T97" s="1" t="s">
        <v>92</v>
      </c>
      <c r="U97" s="1" t="s">
        <v>92</v>
      </c>
      <c r="V97" s="1" t="s">
        <v>92</v>
      </c>
      <c r="W97" s="1" t="s">
        <v>92</v>
      </c>
      <c r="X97" s="1" t="s">
        <v>92</v>
      </c>
      <c r="Y97" s="1" t="s">
        <v>92</v>
      </c>
      <c r="AF97" s="35" t="s">
        <v>138</v>
      </c>
      <c r="AG97" s="36">
        <f>(AG94)+((AG95)*(AG96-AG94))</f>
        <v>8.9979644999999997E-2</v>
      </c>
    </row>
    <row r="98" spans="1:33"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v>-35664000</v>
      </c>
      <c r="P98" s="1" t="s">
        <v>92</v>
      </c>
      <c r="Q98" s="1">
        <v>-11658000</v>
      </c>
      <c r="R98" s="1">
        <v>-29965000</v>
      </c>
      <c r="S98" s="1">
        <v>-33099000</v>
      </c>
      <c r="T98" s="1">
        <v>-33926000</v>
      </c>
      <c r="U98" s="1">
        <v>-47475000</v>
      </c>
      <c r="V98" s="1">
        <v>-67294000</v>
      </c>
      <c r="W98" s="1">
        <v>-88786000</v>
      </c>
      <c r="X98" s="1">
        <v>-109364000</v>
      </c>
      <c r="Y98" s="1">
        <v>-137965000</v>
      </c>
      <c r="AF98" s="61" t="s">
        <v>139</v>
      </c>
      <c r="AG98" s="62"/>
    </row>
    <row r="99" spans="1:33" ht="20" x14ac:dyDescent="0.25">
      <c r="A99" s="5" t="s">
        <v>84</v>
      </c>
      <c r="B99" s="1" t="s">
        <v>92</v>
      </c>
      <c r="C99" s="1" t="s">
        <v>92</v>
      </c>
      <c r="D99" s="1">
        <v>2300000</v>
      </c>
      <c r="E99" s="1">
        <v>15386857</v>
      </c>
      <c r="F99" s="1">
        <v>23000</v>
      </c>
      <c r="G99" s="1" t="s">
        <v>92</v>
      </c>
      <c r="H99" s="1">
        <v>-8000</v>
      </c>
      <c r="I99" s="1">
        <v>1999000</v>
      </c>
      <c r="J99" s="1">
        <v>4465000</v>
      </c>
      <c r="K99" s="1">
        <v>765000</v>
      </c>
      <c r="L99" s="1">
        <v>643000</v>
      </c>
      <c r="M99" s="1">
        <v>1256000</v>
      </c>
      <c r="N99" s="1">
        <v>27000</v>
      </c>
      <c r="O99" s="1">
        <v>2721000</v>
      </c>
      <c r="P99" s="1">
        <v>1588000</v>
      </c>
      <c r="Q99" s="1">
        <v>13629000</v>
      </c>
      <c r="R99" s="1">
        <v>15599000</v>
      </c>
      <c r="S99" s="1">
        <v>4972000</v>
      </c>
      <c r="T99" s="1">
        <v>2601000</v>
      </c>
      <c r="U99" s="1">
        <v>12916000</v>
      </c>
      <c r="V99" s="1">
        <v>19244000</v>
      </c>
      <c r="W99" s="1">
        <v>17229000</v>
      </c>
      <c r="X99" s="1">
        <v>19158000</v>
      </c>
      <c r="Y99" s="1">
        <v>9180000</v>
      </c>
      <c r="AF99" s="23" t="s">
        <v>140</v>
      </c>
      <c r="AG99" s="24">
        <f>AG86+AG87</f>
        <v>0</v>
      </c>
    </row>
    <row r="100" spans="1:33" ht="20" x14ac:dyDescent="0.25">
      <c r="A100" s="6" t="s">
        <v>85</v>
      </c>
      <c r="B100" s="10" t="s">
        <v>92</v>
      </c>
      <c r="C100" s="10" t="s">
        <v>92</v>
      </c>
      <c r="D100" s="10">
        <v>7200000</v>
      </c>
      <c r="E100" s="10">
        <v>15386857</v>
      </c>
      <c r="F100" s="10">
        <v>504584</v>
      </c>
      <c r="G100" s="10">
        <v>35718540</v>
      </c>
      <c r="H100" s="10">
        <v>2714000</v>
      </c>
      <c r="I100" s="10">
        <v>7330000</v>
      </c>
      <c r="J100" s="10">
        <v>21759000</v>
      </c>
      <c r="K100" s="10">
        <v>-9785000</v>
      </c>
      <c r="L100" s="10">
        <v>13618000</v>
      </c>
      <c r="M100" s="10">
        <v>-14047000</v>
      </c>
      <c r="N100" s="10">
        <v>-31975000</v>
      </c>
      <c r="O100" s="10">
        <v>-19553000</v>
      </c>
      <c r="P100" s="10">
        <v>18850000</v>
      </c>
      <c r="Q100" s="10">
        <v>-39227000</v>
      </c>
      <c r="R100" s="10">
        <v>-46652000</v>
      </c>
      <c r="S100" s="10">
        <v>-28127000</v>
      </c>
      <c r="T100" s="10">
        <v>-31325000</v>
      </c>
      <c r="U100" s="10">
        <v>-34559000</v>
      </c>
      <c r="V100" s="10">
        <v>-48050000</v>
      </c>
      <c r="W100" s="10">
        <v>-71557000</v>
      </c>
      <c r="X100" s="10">
        <v>-90206000</v>
      </c>
      <c r="Y100" s="10">
        <v>-128785000</v>
      </c>
      <c r="AF100" s="33" t="s">
        <v>141</v>
      </c>
      <c r="AG100" s="34">
        <f>AG99/AG103</f>
        <v>0</v>
      </c>
    </row>
    <row r="101" spans="1:33" ht="20" x14ac:dyDescent="0.25">
      <c r="A101" s="5" t="s">
        <v>86</v>
      </c>
      <c r="B101" s="1" t="s">
        <v>92</v>
      </c>
      <c r="C101" s="1" t="s">
        <v>92</v>
      </c>
      <c r="D101" s="1" t="s">
        <v>92</v>
      </c>
      <c r="E101" s="1" t="s">
        <v>92</v>
      </c>
      <c r="F101" s="1">
        <v>7783</v>
      </c>
      <c r="G101" s="1">
        <v>235060</v>
      </c>
      <c r="H101" s="1">
        <v>-264000</v>
      </c>
      <c r="I101" s="1">
        <v>-29000</v>
      </c>
      <c r="J101" s="1">
        <v>142000</v>
      </c>
      <c r="K101" s="1">
        <v>-38000</v>
      </c>
      <c r="L101" s="1">
        <v>197000</v>
      </c>
      <c r="M101" s="1">
        <v>597000</v>
      </c>
      <c r="N101" s="1">
        <v>429000</v>
      </c>
      <c r="O101" s="1">
        <v>211000</v>
      </c>
      <c r="P101" s="1">
        <v>897000</v>
      </c>
      <c r="Q101" s="1">
        <v>-486000</v>
      </c>
      <c r="R101" s="1">
        <v>-1293000</v>
      </c>
      <c r="S101" s="1">
        <v>-2090000</v>
      </c>
      <c r="T101" s="1">
        <v>1620000</v>
      </c>
      <c r="U101" s="1">
        <v>-2208000</v>
      </c>
      <c r="V101" s="1">
        <v>-883000</v>
      </c>
      <c r="W101" s="1">
        <v>4926000</v>
      </c>
      <c r="X101" s="1">
        <v>3400000</v>
      </c>
      <c r="Y101" s="1">
        <v>-6039000</v>
      </c>
      <c r="AF101" s="23" t="s">
        <v>142</v>
      </c>
      <c r="AG101" s="39" cm="1">
        <f t="array" ref="AG101">_FV(A1,"Market cap",TRUE)</f>
        <v>21902210000</v>
      </c>
    </row>
    <row r="102" spans="1:33" ht="20" x14ac:dyDescent="0.25">
      <c r="A102" s="6" t="s">
        <v>87</v>
      </c>
      <c r="B102" s="10" t="s">
        <v>92</v>
      </c>
      <c r="C102" s="10" t="s">
        <v>92</v>
      </c>
      <c r="D102" s="10">
        <v>4400000</v>
      </c>
      <c r="E102" s="10">
        <v>11959466</v>
      </c>
      <c r="F102" s="10">
        <v>-5088085</v>
      </c>
      <c r="G102" s="10">
        <v>20383184</v>
      </c>
      <c r="H102" s="10">
        <v>-6928000</v>
      </c>
      <c r="I102" s="10">
        <v>25725000</v>
      </c>
      <c r="J102" s="10">
        <v>32298000</v>
      </c>
      <c r="K102" s="10">
        <v>152000</v>
      </c>
      <c r="L102" s="10">
        <v>-36549000</v>
      </c>
      <c r="M102" s="10">
        <v>1293000</v>
      </c>
      <c r="N102" s="10">
        <v>48361000</v>
      </c>
      <c r="O102" s="10">
        <v>-21267000</v>
      </c>
      <c r="P102" s="10">
        <v>26109000</v>
      </c>
      <c r="Q102" s="10">
        <v>25053000</v>
      </c>
      <c r="R102" s="10">
        <v>-35406000</v>
      </c>
      <c r="S102" s="10">
        <v>21843000</v>
      </c>
      <c r="T102" s="10">
        <v>-29944000</v>
      </c>
      <c r="U102" s="10">
        <v>89944000</v>
      </c>
      <c r="V102" s="10">
        <v>258000</v>
      </c>
      <c r="W102" s="10">
        <v>161995000</v>
      </c>
      <c r="X102" s="10">
        <v>-145682000</v>
      </c>
      <c r="Y102" s="10">
        <v>99340000</v>
      </c>
      <c r="AF102" s="33" t="s">
        <v>143</v>
      </c>
      <c r="AG102" s="34">
        <f>AG101/AG103</f>
        <v>1</v>
      </c>
    </row>
    <row r="103" spans="1:33" ht="20" x14ac:dyDescent="0.25">
      <c r="A103" s="5" t="s">
        <v>88</v>
      </c>
      <c r="B103" s="1" t="s">
        <v>92</v>
      </c>
      <c r="C103" s="1" t="s">
        <v>92</v>
      </c>
      <c r="D103" s="1">
        <v>172704000</v>
      </c>
      <c r="E103" s="1">
        <v>5264028</v>
      </c>
      <c r="F103" s="1">
        <v>17223494</v>
      </c>
      <c r="G103" s="1">
        <v>11635409</v>
      </c>
      <c r="H103" s="1">
        <v>32019000</v>
      </c>
      <c r="I103" s="1">
        <v>25091000</v>
      </c>
      <c r="J103" s="1">
        <v>50816000</v>
      </c>
      <c r="K103" s="1">
        <v>83114000</v>
      </c>
      <c r="L103" s="1">
        <v>83266000</v>
      </c>
      <c r="M103" s="1">
        <v>46717000</v>
      </c>
      <c r="N103" s="1">
        <v>48010000</v>
      </c>
      <c r="O103" s="1">
        <v>96371000</v>
      </c>
      <c r="P103" s="1">
        <v>75104000</v>
      </c>
      <c r="Q103" s="1">
        <v>101213000</v>
      </c>
      <c r="R103" s="1">
        <v>126266000</v>
      </c>
      <c r="S103" s="1">
        <v>90860000</v>
      </c>
      <c r="T103" s="1">
        <v>112703000</v>
      </c>
      <c r="U103" s="1">
        <v>82874000</v>
      </c>
      <c r="V103" s="1">
        <v>172818000</v>
      </c>
      <c r="W103" s="1">
        <v>173076000</v>
      </c>
      <c r="X103" s="1">
        <v>335071000</v>
      </c>
      <c r="Y103" s="1">
        <v>189389000</v>
      </c>
      <c r="AF103" s="35" t="s">
        <v>144</v>
      </c>
      <c r="AG103" s="40">
        <f>AG99+AG101</f>
        <v>21902210000</v>
      </c>
    </row>
    <row r="104" spans="1:33" ht="20" thickBot="1" x14ac:dyDescent="0.3">
      <c r="A104" s="7" t="s">
        <v>89</v>
      </c>
      <c r="B104" s="11" t="s">
        <v>92</v>
      </c>
      <c r="C104" s="11" t="s">
        <v>92</v>
      </c>
      <c r="D104" s="11">
        <v>177104000</v>
      </c>
      <c r="E104" s="11">
        <v>17223494</v>
      </c>
      <c r="F104" s="11">
        <v>12135409</v>
      </c>
      <c r="G104" s="11">
        <v>32018593</v>
      </c>
      <c r="H104" s="11">
        <v>25091000</v>
      </c>
      <c r="I104" s="11">
        <v>50816000</v>
      </c>
      <c r="J104" s="11">
        <v>83114000</v>
      </c>
      <c r="K104" s="11">
        <v>83266000</v>
      </c>
      <c r="L104" s="11">
        <v>46717000</v>
      </c>
      <c r="M104" s="11">
        <v>48010000</v>
      </c>
      <c r="N104" s="11">
        <v>96371000</v>
      </c>
      <c r="O104" s="11">
        <v>75104000</v>
      </c>
      <c r="P104" s="11">
        <v>101213000</v>
      </c>
      <c r="Q104" s="11">
        <v>126266000</v>
      </c>
      <c r="R104" s="11">
        <v>90860000</v>
      </c>
      <c r="S104" s="11">
        <v>112703000</v>
      </c>
      <c r="T104" s="11">
        <v>82759000</v>
      </c>
      <c r="U104" s="11">
        <v>172818000</v>
      </c>
      <c r="V104" s="11">
        <v>173076000</v>
      </c>
      <c r="W104" s="11">
        <v>335071000</v>
      </c>
      <c r="X104" s="11">
        <v>189389000</v>
      </c>
      <c r="Y104" s="11">
        <v>288729000</v>
      </c>
      <c r="AF104" s="61" t="s">
        <v>145</v>
      </c>
      <c r="AG104" s="62"/>
    </row>
    <row r="105" spans="1:33" ht="21" thickTop="1" x14ac:dyDescent="0.25">
      <c r="A105" s="14" t="s">
        <v>107</v>
      </c>
      <c r="B105" s="1"/>
      <c r="C105" s="15" t="e">
        <f>(C106/B106)-1</f>
        <v>#VALUE!</v>
      </c>
      <c r="D105" s="15" t="e">
        <f>(D106/C106)-1</f>
        <v>#VALUE!</v>
      </c>
      <c r="E105" s="15">
        <f>(E106/D106)-1</f>
        <v>0.18185896551724134</v>
      </c>
      <c r="F105" s="15">
        <f>(F106/E106)-1</f>
        <v>0.3383836276631409</v>
      </c>
      <c r="G105" s="15">
        <f>(G106/F106)-1</f>
        <v>-0.97719375195654656</v>
      </c>
      <c r="H105" s="15">
        <f t="shared" ref="H105:Y105" si="8">(H106/G106)-1</f>
        <v>-147.56457903188806</v>
      </c>
      <c r="I105" s="15">
        <f t="shared" si="8"/>
        <v>-0.71662427444074872</v>
      </c>
      <c r="J105" s="15">
        <f t="shared" si="8"/>
        <v>3.071576524741082</v>
      </c>
      <c r="K105" s="15">
        <f t="shared" si="8"/>
        <v>0.94206093493866927</v>
      </c>
      <c r="L105" s="15">
        <f t="shared" si="8"/>
        <v>-0.37421777221526908</v>
      </c>
      <c r="M105" s="15">
        <f t="shared" si="8"/>
        <v>0.19604651162790687</v>
      </c>
      <c r="N105" s="15">
        <f t="shared" si="8"/>
        <v>-0.118685592066887</v>
      </c>
      <c r="O105" s="15">
        <f t="shared" si="8"/>
        <v>-0.82998720381238145</v>
      </c>
      <c r="P105" s="15">
        <f t="shared" si="8"/>
        <v>10.658967038671165</v>
      </c>
      <c r="Q105" s="15">
        <f t="shared" si="8"/>
        <v>0.43853791015538035</v>
      </c>
      <c r="R105" s="15">
        <f t="shared" si="8"/>
        <v>-0.1688279533285878</v>
      </c>
      <c r="S105" s="15">
        <f t="shared" si="8"/>
        <v>0.3157953529937445</v>
      </c>
      <c r="T105" s="15">
        <f t="shared" si="8"/>
        <v>-3.7156521493052597E-2</v>
      </c>
      <c r="U105" s="15">
        <f t="shared" si="8"/>
        <v>0.74766341406066306</v>
      </c>
      <c r="V105" s="15">
        <f t="shared" si="8"/>
        <v>4.9695186041622819E-3</v>
      </c>
      <c r="W105" s="15">
        <f t="shared" si="8"/>
        <v>0.77519327956089557</v>
      </c>
      <c r="X105" s="15">
        <f t="shared" si="8"/>
        <v>5.9425727267585549E-2</v>
      </c>
      <c r="Y105" s="15">
        <f t="shared" si="8"/>
        <v>-0.16434876230135431</v>
      </c>
      <c r="Z105" s="15"/>
      <c r="AA105" s="15"/>
      <c r="AB105" s="15"/>
      <c r="AC105" s="15"/>
      <c r="AD105" s="15"/>
      <c r="AE105" s="15"/>
      <c r="AF105" s="25" t="s">
        <v>108</v>
      </c>
      <c r="AG105" s="26">
        <f>(AG100*AG92)+(AG102*AG97)</f>
        <v>8.9979644999999997E-2</v>
      </c>
    </row>
    <row r="106" spans="1:33" ht="19" x14ac:dyDescent="0.25">
      <c r="A106" s="5" t="s">
        <v>90</v>
      </c>
      <c r="B106" s="1" t="s">
        <v>92</v>
      </c>
      <c r="C106" s="1" t="s">
        <v>92</v>
      </c>
      <c r="D106" s="1">
        <v>-2900000</v>
      </c>
      <c r="E106" s="1">
        <v>-3427391</v>
      </c>
      <c r="F106" s="1">
        <v>-4587164</v>
      </c>
      <c r="G106" s="1">
        <v>-104616</v>
      </c>
      <c r="H106" s="1">
        <v>15333000</v>
      </c>
      <c r="I106" s="1">
        <v>4345000</v>
      </c>
      <c r="J106" s="1">
        <v>17691000</v>
      </c>
      <c r="K106" s="1">
        <v>34357000</v>
      </c>
      <c r="L106" s="1">
        <v>21500000</v>
      </c>
      <c r="M106" s="1">
        <v>25715000</v>
      </c>
      <c r="N106" s="1">
        <v>22663000</v>
      </c>
      <c r="O106" s="1">
        <v>3853000</v>
      </c>
      <c r="P106" s="1">
        <v>44922000</v>
      </c>
      <c r="Q106" s="1">
        <v>64622000</v>
      </c>
      <c r="R106" s="1">
        <v>53712000</v>
      </c>
      <c r="S106" s="1">
        <v>70674000</v>
      </c>
      <c r="T106" s="1">
        <v>68048000</v>
      </c>
      <c r="U106" s="1">
        <v>118925000</v>
      </c>
      <c r="V106" s="1">
        <v>119516000</v>
      </c>
      <c r="W106" s="1">
        <v>212164000</v>
      </c>
      <c r="X106" s="1">
        <v>224772000</v>
      </c>
      <c r="Y106" s="1">
        <v>187831000</v>
      </c>
      <c r="Z106" s="41">
        <f>Y106*(1+$AG$106)</f>
        <v>215349084.89726725</v>
      </c>
      <c r="AA106" s="41">
        <f t="shared" ref="AA106:AD106" si="9">Z106*(1+$AG$106)</f>
        <v>246898692.79347083</v>
      </c>
      <c r="AB106" s="41">
        <f t="shared" si="9"/>
        <v>283070459.91026747</v>
      </c>
      <c r="AC106" s="41">
        <f t="shared" si="9"/>
        <v>324541553.32785684</v>
      </c>
      <c r="AD106" s="41">
        <f t="shared" si="9"/>
        <v>372088348.14429796</v>
      </c>
      <c r="AE106" s="42" t="s">
        <v>146</v>
      </c>
      <c r="AF106" s="43" t="s">
        <v>147</v>
      </c>
      <c r="AG106" s="44">
        <f>(SUM(Z4:AD4)/5)</f>
        <v>0.14650449019207284</v>
      </c>
    </row>
    <row r="107" spans="1:33"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42"/>
      <c r="AA107" s="42"/>
      <c r="AB107" s="42"/>
      <c r="AC107" s="42"/>
      <c r="AD107" s="45">
        <f>AD106*(1+AG107)/(AG108-AG107)</f>
        <v>5869385048.9319448</v>
      </c>
      <c r="AE107" s="46" t="s">
        <v>148</v>
      </c>
      <c r="AF107" s="47" t="s">
        <v>149</v>
      </c>
      <c r="AG107" s="48">
        <v>2.5000000000000001E-2</v>
      </c>
    </row>
    <row r="108" spans="1:33" ht="19" x14ac:dyDescent="0.25">
      <c r="Z108" s="45">
        <f t="shared" ref="Z108:AB108" si="10">Z107+Z106</f>
        <v>215349084.89726725</v>
      </c>
      <c r="AA108" s="45">
        <f t="shared" si="10"/>
        <v>246898692.79347083</v>
      </c>
      <c r="AB108" s="45">
        <f t="shared" si="10"/>
        <v>283070459.91026747</v>
      </c>
      <c r="AC108" s="45">
        <f>AC107+AC106</f>
        <v>324541553.32785684</v>
      </c>
      <c r="AD108" s="45">
        <f>AD107+AD106</f>
        <v>6241473397.0762424</v>
      </c>
      <c r="AE108" s="46" t="s">
        <v>144</v>
      </c>
      <c r="AF108" s="49" t="s">
        <v>150</v>
      </c>
      <c r="AG108" s="50">
        <f>AG105</f>
        <v>8.9979644999999997E-2</v>
      </c>
    </row>
    <row r="109" spans="1:33" ht="19" x14ac:dyDescent="0.25">
      <c r="Z109" s="63" t="s">
        <v>151</v>
      </c>
      <c r="AA109" s="64"/>
    </row>
    <row r="110" spans="1:33" ht="20" x14ac:dyDescent="0.25">
      <c r="Z110" s="51" t="s">
        <v>152</v>
      </c>
      <c r="AA110" s="39">
        <f>NPV(AG108,Z108,AA108,AB108,AC108,AD108)</f>
        <v>4910822524.2647285</v>
      </c>
    </row>
    <row r="111" spans="1:33" ht="20" x14ac:dyDescent="0.25">
      <c r="Z111" s="51" t="s">
        <v>153</v>
      </c>
      <c r="AA111" s="39">
        <f>Y40</f>
        <v>737873000</v>
      </c>
    </row>
    <row r="112" spans="1:33" ht="20" x14ac:dyDescent="0.25">
      <c r="Z112" s="51" t="s">
        <v>140</v>
      </c>
      <c r="AA112" s="39">
        <f>AG99</f>
        <v>0</v>
      </c>
    </row>
    <row r="113" spans="26:27" ht="20" x14ac:dyDescent="0.25">
      <c r="Z113" s="51" t="s">
        <v>154</v>
      </c>
      <c r="AA113" s="39">
        <f>AA110+AA111-AA112</f>
        <v>5648695524.2647285</v>
      </c>
    </row>
    <row r="114" spans="26:27" ht="20" x14ac:dyDescent="0.25">
      <c r="Z114" s="51" t="s">
        <v>155</v>
      </c>
      <c r="AA114" s="52">
        <f>Y34*(1+(5*AE16))</f>
        <v>52383071.933422774</v>
      </c>
    </row>
    <row r="115" spans="26:27" ht="20" x14ac:dyDescent="0.25">
      <c r="Z115" s="53" t="s">
        <v>156</v>
      </c>
      <c r="AA115" s="54">
        <f>AA113/AA114</f>
        <v>107.83436930625301</v>
      </c>
    </row>
    <row r="116" spans="26:27" ht="20" x14ac:dyDescent="0.25">
      <c r="Z116" s="51" t="s">
        <v>157</v>
      </c>
      <c r="AA116" s="55" cm="1">
        <f t="array" ref="AA116">_FV(A1,"Price (Extended hours)",TRUE)</f>
        <v>449.08</v>
      </c>
    </row>
    <row r="117" spans="26:27" ht="20" x14ac:dyDescent="0.25">
      <c r="Z117" s="56" t="s">
        <v>158</v>
      </c>
      <c r="AA117" s="57">
        <f>AA115/AA116-1</f>
        <v>-0.75987715038244186</v>
      </c>
    </row>
    <row r="118" spans="26:27" ht="20" x14ac:dyDescent="0.25">
      <c r="Z118" s="56" t="s">
        <v>159</v>
      </c>
      <c r="AA118" s="58" t="str">
        <f>IF(AA115&gt;AA116,"BUY","SELL")</f>
        <v>SELL</v>
      </c>
    </row>
  </sheetData>
  <mergeCells count="6">
    <mergeCell ref="Z109:AA109"/>
    <mergeCell ref="AF83:AG83"/>
    <mergeCell ref="AF84:AG84"/>
    <mergeCell ref="AF93:AG93"/>
    <mergeCell ref="AF98:AG98"/>
    <mergeCell ref="AF104:AG104"/>
  </mergeCells>
  <hyperlinks>
    <hyperlink ref="A1" r:id="rId1" tooltip="https://roic.ai/company/MPWR" display="ROIC.AI | MPWR"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1280452/000119312506065261/d10k.htm" xr:uid="{00000000-0004-0000-0000-000013000000}"/>
    <hyperlink ref="H74" r:id="rId15" tooltip="https://www.sec.gov/Archives/edgar/data/1280452/000119312506065261/d10k.htm" xr:uid="{00000000-0004-0000-0000-000014000000}"/>
    <hyperlink ref="I36" r:id="rId16" tooltip="https://www.sec.gov/Archives/edgar/data/1280452/000119312507056647/d10k.htm" xr:uid="{00000000-0004-0000-0000-000016000000}"/>
    <hyperlink ref="I74" r:id="rId17" tooltip="https://www.sec.gov/Archives/edgar/data/1280452/000119312507056647/d10k.htm" xr:uid="{00000000-0004-0000-0000-000017000000}"/>
    <hyperlink ref="J36" r:id="rId18" tooltip="https://www.sec.gov/Archives/edgar/data/1280452/000119312508052915/d10k.htm" xr:uid="{00000000-0004-0000-0000-000019000000}"/>
    <hyperlink ref="J74" r:id="rId19" tooltip="https://www.sec.gov/Archives/edgar/data/1280452/000119312508052915/d10k.htm" xr:uid="{00000000-0004-0000-0000-00001A000000}"/>
    <hyperlink ref="K36" r:id="rId20" tooltip="https://www.sec.gov/Archives/edgar/data/1280452/000119312509040534/d10k.htm" xr:uid="{00000000-0004-0000-0000-00001C000000}"/>
    <hyperlink ref="K74" r:id="rId21" tooltip="https://www.sec.gov/Archives/edgar/data/1280452/000119312509040534/d10k.htm" xr:uid="{00000000-0004-0000-0000-00001D000000}"/>
    <hyperlink ref="L36" r:id="rId22" tooltip="https://www.sec.gov/Archives/edgar/data/1280452/000119312510030881/d10k.htm" xr:uid="{00000000-0004-0000-0000-00001F000000}"/>
    <hyperlink ref="L74" r:id="rId23" tooltip="https://www.sec.gov/Archives/edgar/data/1280452/000119312510030881/d10k.htm" xr:uid="{00000000-0004-0000-0000-000020000000}"/>
    <hyperlink ref="M36" r:id="rId24" tooltip="https://www.sec.gov/Archives/edgar/data/1280452/000143774911001307/monolithic_10k-123110.htm" xr:uid="{00000000-0004-0000-0000-000022000000}"/>
    <hyperlink ref="M74" r:id="rId25" tooltip="https://www.sec.gov/Archives/edgar/data/1280452/000143774911001307/monolithic_10k-123110.htm" xr:uid="{00000000-0004-0000-0000-000023000000}"/>
    <hyperlink ref="N36" r:id="rId26" tooltip="https://www.sec.gov/Archives/edgar/data/1280452/000143774912002162/mps_10k-123111.htm" xr:uid="{00000000-0004-0000-0000-000025000000}"/>
    <hyperlink ref="N74" r:id="rId27" tooltip="https://www.sec.gov/Archives/edgar/data/1280452/000143774912002162/mps_10k-123111.htm" xr:uid="{00000000-0004-0000-0000-000026000000}"/>
    <hyperlink ref="O36" r:id="rId28" tooltip="https://www.sec.gov/Archives/edgar/data/1280452/000143774913002333/monolithic_10k-123112.htm" xr:uid="{00000000-0004-0000-0000-000028000000}"/>
    <hyperlink ref="O74" r:id="rId29" tooltip="https://www.sec.gov/Archives/edgar/data/1280452/000143774913002333/monolithic_10k-123112.htm" xr:uid="{00000000-0004-0000-0000-000029000000}"/>
    <hyperlink ref="P36" r:id="rId30" tooltip="https://www.sec.gov/Archives/edgar/data/1280452/000143774914003761/mpwr20131231_10k.htm" xr:uid="{00000000-0004-0000-0000-00002B000000}"/>
    <hyperlink ref="P74" r:id="rId31" tooltip="https://www.sec.gov/Archives/edgar/data/1280452/000143774914003761/mpwr20131231_10k.htm" xr:uid="{00000000-0004-0000-0000-00002C000000}"/>
    <hyperlink ref="Q36" r:id="rId32" tooltip="https://www.sec.gov/Archives/edgar/data/1280452/000143774915003820/mpwr20141231_10k.htm" xr:uid="{00000000-0004-0000-0000-00002E000000}"/>
    <hyperlink ref="Q74" r:id="rId33" tooltip="https://www.sec.gov/Archives/edgar/data/1280452/000143774915003820/mpwr20141231_10k.htm" xr:uid="{00000000-0004-0000-0000-00002F000000}"/>
    <hyperlink ref="R36" r:id="rId34" tooltip="https://www.sec.gov/Archives/edgar/data/1280452/000143774916026344/mpwr20151119_10k.htm" xr:uid="{00000000-0004-0000-0000-000031000000}"/>
    <hyperlink ref="R74" r:id="rId35" tooltip="https://www.sec.gov/Archives/edgar/data/1280452/000143774916026344/mpwr20151119_10k.htm" xr:uid="{00000000-0004-0000-0000-000032000000}"/>
    <hyperlink ref="S36" r:id="rId36" tooltip="https://www.sec.gov/Archives/edgar/data/1280452/000143774917003558/mpwr20161231_10k.htm" xr:uid="{00000000-0004-0000-0000-000034000000}"/>
    <hyperlink ref="S74" r:id="rId37" tooltip="https://www.sec.gov/Archives/edgar/data/1280452/000143774917003558/mpwr20161231_10k.htm" xr:uid="{00000000-0004-0000-0000-000035000000}"/>
    <hyperlink ref="T36" r:id="rId38" tooltip="https://www.sec.gov/Archives/edgar/data/1280452/000143774918003639/mpwr20171231_10k.htm" xr:uid="{00000000-0004-0000-0000-000037000000}"/>
    <hyperlink ref="T74" r:id="rId39" tooltip="https://www.sec.gov/Archives/edgar/data/1280452/000143774918003639/mpwr20171231_10k.htm" xr:uid="{00000000-0004-0000-0000-000038000000}"/>
    <hyperlink ref="U36" r:id="rId40" tooltip="https://www.sec.gov/Archives/edgar/data/1280452/000143774919003798/mpwr20181231_10k.htm" xr:uid="{00000000-0004-0000-0000-00003A000000}"/>
    <hyperlink ref="U74" r:id="rId41" tooltip="https://www.sec.gov/Archives/edgar/data/1280452/000143774919003798/mpwr20181231_10k.htm" xr:uid="{00000000-0004-0000-0000-00003B000000}"/>
    <hyperlink ref="V36" r:id="rId42" tooltip="https://www.sec.gov/Archives/edgar/data/1280452/000143774920003943/mpwr20191231_10k.htm" xr:uid="{00000000-0004-0000-0000-00003D000000}"/>
    <hyperlink ref="V74" r:id="rId43" tooltip="https://www.sec.gov/Archives/edgar/data/1280452/000143774920003943/mpwr20191231_10k.htm" xr:uid="{00000000-0004-0000-0000-00003E000000}"/>
    <hyperlink ref="W36" r:id="rId44" tooltip="https://www.sec.gov/Archives/edgar/data/1280452/000143774921004587/0001437749-21-004587-index.htm" xr:uid="{00000000-0004-0000-0000-000040000000}"/>
    <hyperlink ref="W74" r:id="rId45" tooltip="https://www.sec.gov/Archives/edgar/data/1280452/000143774921004587/0001437749-21-004587-index.htm" xr:uid="{00000000-0004-0000-0000-000041000000}"/>
    <hyperlink ref="X36" r:id="rId46" tooltip="https://www.sec.gov/Archives/edgar/data/1280452/000143774922004460/0001437749-22-004460-index.htm" xr:uid="{00000000-0004-0000-0000-000043000000}"/>
    <hyperlink ref="X74" r:id="rId47" tooltip="https://www.sec.gov/Archives/edgar/data/1280452/000143774922004460/0001437749-22-004460-index.htm" xr:uid="{00000000-0004-0000-0000-000044000000}"/>
    <hyperlink ref="Y36" r:id="rId48" tooltip="https://www.sec.gov/Archives/edgar/data/1280452/000143774923004540/0001437749-23-004540-index.htm" xr:uid="{00000000-0004-0000-0000-000046000000}"/>
    <hyperlink ref="Y74" r:id="rId49" tooltip="https://www.sec.gov/Archives/edgar/data/1280452/000143774923004540/0001437749-23-004540-index.htm" xr:uid="{00000000-0004-0000-0000-000047000000}"/>
    <hyperlink ref="Z1" r:id="rId50" display="https://finbox.com/NASDAQGS:MPWR/explorer/revenue_proj" xr:uid="{56A6BE56-64D4-3441-869C-6BDA535CE258}"/>
  </hyperlinks>
  <pageMargins left="0.7" right="0.7" top="0.75" bottom="0.75" header="0.3" footer="0.3"/>
  <drawing r:id="rId5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2023-03-13T00:23:16Z</dcterms:created>
  <dcterms:modified xsi:type="dcterms:W3CDTF">2023-04-23T07:59:44Z</dcterms:modified>
</cp:coreProperties>
</file>