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FD8ADA3A-D90F-0B43-AEF5-1F7B0643C85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 i="1" l="1"/>
  <c r="Q4" i="1"/>
  <c r="P4" i="1"/>
  <c r="O4" i="1"/>
  <c r="N4" i="1"/>
  <c r="M4" i="1"/>
  <c r="L4" i="1"/>
  <c r="K4" i="1"/>
  <c r="J4" i="1"/>
  <c r="I4" i="1"/>
  <c r="H4" i="1"/>
  <c r="G4" i="1"/>
  <c r="F4" i="1"/>
  <c r="E4" i="1"/>
  <c r="D4" i="1"/>
  <c r="C4" i="1"/>
  <c r="R3" i="1"/>
  <c r="S118" i="1" a="1"/>
  <c r="S118" i="1" s="1"/>
  <c r="Y102" i="1" a="1"/>
  <c r="Y102" i="1" s="1"/>
  <c r="Y96" i="1" a="1"/>
  <c r="Y96" i="1" s="1"/>
  <c r="Y98" i="1" s="1"/>
  <c r="Y86" i="1"/>
  <c r="Y89" i="1" s="1"/>
  <c r="Y93" i="1" s="1"/>
  <c r="Y87" i="1"/>
  <c r="Y88" i="1"/>
  <c r="Y100" i="1" s="1"/>
  <c r="Y90" i="1"/>
  <c r="Y91" i="1"/>
  <c r="Y92" i="1"/>
  <c r="W21" i="1"/>
  <c r="Z15" i="1"/>
  <c r="Y15" i="1"/>
  <c r="X15" i="1"/>
  <c r="W15" i="1"/>
  <c r="Z9" i="1"/>
  <c r="Y9" i="1"/>
  <c r="X9" i="1"/>
  <c r="W9" i="1"/>
  <c r="S113" i="1"/>
  <c r="Z18" i="1" l="1"/>
  <c r="Y18" i="1"/>
  <c r="X18" i="1"/>
  <c r="Y104" i="1"/>
  <c r="Y103" i="1" s="1"/>
  <c r="U6" i="1"/>
  <c r="V6" i="1"/>
  <c r="H37" i="1"/>
  <c r="I37" i="1"/>
  <c r="J37" i="1"/>
  <c r="K37" i="1"/>
  <c r="L37" i="1"/>
  <c r="M37" i="1"/>
  <c r="N37" i="1"/>
  <c r="O37" i="1"/>
  <c r="P37" i="1"/>
  <c r="Q37" i="1"/>
  <c r="W18" i="1" s="1"/>
  <c r="S116" i="1" s="1"/>
  <c r="G37" i="1"/>
  <c r="F37" i="1"/>
  <c r="E37" i="1"/>
  <c r="D37" i="1"/>
  <c r="C37" i="1"/>
  <c r="C82" i="1"/>
  <c r="C91" i="1"/>
  <c r="D91" i="1"/>
  <c r="E91" i="1"/>
  <c r="F91" i="1"/>
  <c r="G91" i="1"/>
  <c r="H91" i="1"/>
  <c r="I91" i="1"/>
  <c r="J91" i="1"/>
  <c r="K91" i="1"/>
  <c r="L91" i="1"/>
  <c r="M91" i="1"/>
  <c r="N91" i="1"/>
  <c r="O91" i="1"/>
  <c r="P91" i="1"/>
  <c r="Q91" i="1"/>
  <c r="Z12" i="1" s="1"/>
  <c r="B91" i="1"/>
  <c r="D82" i="1"/>
  <c r="E82" i="1"/>
  <c r="F82" i="1"/>
  <c r="G82" i="1"/>
  <c r="H82" i="1"/>
  <c r="I82" i="1"/>
  <c r="J82" i="1"/>
  <c r="K82" i="1"/>
  <c r="L82" i="1"/>
  <c r="M82" i="1"/>
  <c r="N82" i="1"/>
  <c r="O82" i="1"/>
  <c r="P82" i="1"/>
  <c r="Q82" i="1"/>
  <c r="Y12" i="1" s="1"/>
  <c r="B82" i="1"/>
  <c r="C11" i="1"/>
  <c r="D11" i="1"/>
  <c r="E11" i="1"/>
  <c r="F11" i="1"/>
  <c r="G11" i="1"/>
  <c r="H11" i="1"/>
  <c r="I11" i="1"/>
  <c r="J11" i="1"/>
  <c r="K11" i="1"/>
  <c r="L11" i="1"/>
  <c r="M11" i="1"/>
  <c r="N11" i="1"/>
  <c r="O11" i="1"/>
  <c r="P11" i="1"/>
  <c r="Q11" i="1"/>
  <c r="W12" i="1" s="1"/>
  <c r="B11" i="1"/>
  <c r="B15" i="1"/>
  <c r="E15" i="1"/>
  <c r="F15" i="1"/>
  <c r="G15" i="1"/>
  <c r="H15" i="1"/>
  <c r="I15" i="1"/>
  <c r="J15" i="1"/>
  <c r="K15" i="1"/>
  <c r="L15" i="1"/>
  <c r="M15" i="1"/>
  <c r="N15" i="1"/>
  <c r="O15" i="1"/>
  <c r="P15" i="1"/>
  <c r="Q15" i="1"/>
  <c r="X12" i="1" s="1"/>
  <c r="C15" i="1"/>
  <c r="D15" i="1"/>
  <c r="C6" i="1"/>
  <c r="R6" i="1"/>
  <c r="S6" i="1"/>
  <c r="T6" i="1"/>
  <c r="Q107" i="1"/>
  <c r="P107" i="1"/>
  <c r="O107" i="1"/>
  <c r="N107" i="1"/>
  <c r="M107" i="1"/>
  <c r="L107" i="1"/>
  <c r="K107" i="1"/>
  <c r="J107" i="1"/>
  <c r="I107" i="1"/>
  <c r="H107" i="1"/>
  <c r="G107" i="1"/>
  <c r="F107" i="1"/>
  <c r="E107" i="1"/>
  <c r="D107" i="1"/>
  <c r="C107" i="1"/>
  <c r="Q31" i="1"/>
  <c r="P31" i="1"/>
  <c r="O31" i="1"/>
  <c r="N31" i="1"/>
  <c r="M31" i="1"/>
  <c r="L31" i="1"/>
  <c r="K31" i="1"/>
  <c r="J31" i="1"/>
  <c r="I31" i="1"/>
  <c r="H31" i="1"/>
  <c r="G31" i="1"/>
  <c r="F31" i="1"/>
  <c r="E31" i="1"/>
  <c r="D31" i="1"/>
  <c r="C31" i="1"/>
  <c r="Q22" i="1"/>
  <c r="X6" i="1" s="1"/>
  <c r="P22" i="1"/>
  <c r="O22" i="1"/>
  <c r="N22" i="1"/>
  <c r="M22" i="1"/>
  <c r="L22" i="1"/>
  <c r="K22" i="1"/>
  <c r="J22" i="1"/>
  <c r="I22" i="1"/>
  <c r="H22" i="1"/>
  <c r="G22" i="1"/>
  <c r="F22" i="1"/>
  <c r="E22" i="1"/>
  <c r="D22" i="1"/>
  <c r="C22" i="1"/>
  <c r="F6" i="1"/>
  <c r="G6" i="1"/>
  <c r="H6" i="1"/>
  <c r="I6" i="1"/>
  <c r="J6" i="1"/>
  <c r="K6" i="1"/>
  <c r="L6" i="1"/>
  <c r="M6" i="1"/>
  <c r="N6" i="1"/>
  <c r="O6" i="1"/>
  <c r="P6" i="1"/>
  <c r="Q6" i="1"/>
  <c r="E6" i="1"/>
  <c r="D6" i="1"/>
  <c r="Z6" i="1" l="1"/>
  <c r="W6" i="1"/>
  <c r="Y6" i="1"/>
  <c r="Y101" i="1"/>
  <c r="Y108" i="1"/>
  <c r="R108" i="1" s="1"/>
  <c r="S108" i="1" s="1"/>
  <c r="R110" i="1" l="1"/>
  <c r="S114" i="1"/>
  <c r="T108" i="1"/>
  <c r="S110" i="1"/>
  <c r="Y106" i="1" l="1"/>
  <c r="Y110" i="1" s="1"/>
  <c r="U108" i="1"/>
  <c r="T110" i="1"/>
  <c r="V108" i="1" l="1"/>
  <c r="V109" i="1" s="1"/>
  <c r="V110" i="1" s="1"/>
  <c r="U110" i="1"/>
  <c r="S112" i="1" l="1"/>
  <c r="S115" i="1" s="1"/>
  <c r="S117" i="1" s="1"/>
  <c r="S119" i="1" s="1"/>
  <c r="S12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<sst xmlns="http://schemas.openxmlformats.org/spreadsheetml/2006/main" count="499" uniqueCount="162">
  <si>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</si>
  <si>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</si>
  <si>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</si>
  <si>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</si>
  <si>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</si>
  <si>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</si>
  <si>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</si>
  <si>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</si>
  <si>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</si>
  <si>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</si>
  <si>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</si>
  <si>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</si>
  <si>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</si>
  <si>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</si>
  <si>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</si>
  <si>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</si>
  <si>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</si>
  <si>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</si>
  <si>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</si>
  <si>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</si>
  <si>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</si>
  <si>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</si>
  <si>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</si>
  <si>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</si>
  <si>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</si>
  <si>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</si>
  <si>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</si>
  <si>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</si>
  <si>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</si>
  <si>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</si>
  <si>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</si>
  <si>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</si>
  <si>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</si>
  <si>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</si>
  <si>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</si>
  <si>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</si>
  <si>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</si>
  <si>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</si>
  <si>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</si>
  <si>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</si>
  <si>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</si>
  <si>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</si>
  <si>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</si>
  <si>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</si>
  <si>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</si>
  <si>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</si>
  <si>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</si>
  <si>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</si>
  <si>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</si>
  <si>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</si>
  <si>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</si>
  <si>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</si>
  <si>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</si>
  <si>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</si>
  <si>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</si>
  <si>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</si>
  <si>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</si>
  <si>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</si>
  <si>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</si>
  <si>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</si>
  <si>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</si>
  <si>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</si>
  <si>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</si>
  <si>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</si>
  <si>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</si>
  <si>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</si>
  <si>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</si>
  <si>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</si>
  <si>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</si>
  <si>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</si>
  <si>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</si>
  <si>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</si>
  <si>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</si>
  <si>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</si>
  <si>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</si>
  <si>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</si>
  <si>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</si>
  <si>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</si>
  <si>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</si>
  <si>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</si>
  <si>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</si>
  <si>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</si>
  <si>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</si>
  <si>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</si>
  <si>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</si>
  <si>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</si>
  <si>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</si>
  <si>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</si>
  <si>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</si>
  <si>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</si>
  <si>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</si>
  <si>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</si>
  <si>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</si>
  <si>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</si>
  <si>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</si>
  <si>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EBITDA Growth YoY</t>
  </si>
  <si>
    <t>Net Income Growth YoY</t>
  </si>
  <si>
    <t>FCF Growth YoY</t>
  </si>
  <si>
    <t>3yr EBITDA Growth</t>
  </si>
  <si>
    <t>3yr Net Income Growth</t>
  </si>
  <si>
    <t>3yr Rev Growth</t>
  </si>
  <si>
    <t>3yr FCF Growth</t>
  </si>
  <si>
    <t>Gross Profit Margin</t>
  </si>
  <si>
    <t>EBITDA Margin</t>
  </si>
  <si>
    <t>Net Income Margin</t>
  </si>
  <si>
    <t>FCF Margin</t>
  </si>
  <si>
    <t>SG&amp;A as % of Revenue</t>
  </si>
  <si>
    <t>R&amp;D as % of Revenue</t>
  </si>
  <si>
    <t>SBC as % of Revenue</t>
  </si>
  <si>
    <t>CAPEX as % of Revenue</t>
  </si>
  <si>
    <t>SBC % of Revenue</t>
  </si>
  <si>
    <t>CAPEX % of Rev</t>
  </si>
  <si>
    <t>SG&amp;A % of Rev</t>
  </si>
  <si>
    <t>R&amp;D % of Rev</t>
  </si>
  <si>
    <t>Debt to Equity</t>
  </si>
  <si>
    <t>ROIC</t>
  </si>
  <si>
    <t>ROA</t>
  </si>
  <si>
    <t>ROE</t>
  </si>
  <si>
    <t>Cost of Debt Calculation</t>
  </si>
  <si>
    <t>Interest Expense</t>
  </si>
  <si>
    <t>Short Term Debt</t>
  </si>
  <si>
    <t>Long Term Debt</t>
  </si>
  <si>
    <t>Cost of Debt</t>
  </si>
  <si>
    <t>Income Tax Expense</t>
  </si>
  <si>
    <t>Effective Tax Rate</t>
  </si>
  <si>
    <t>Cost of Debt*(1-t)</t>
  </si>
  <si>
    <t>WACC</t>
  </si>
  <si>
    <t>Cost of Equity Calculation</t>
  </si>
  <si>
    <t>Risk Free Rate</t>
  </si>
  <si>
    <t>Beta</t>
  </si>
  <si>
    <t>Market Return</t>
  </si>
  <si>
    <t>Cost of Equity</t>
  </si>
  <si>
    <t>Total Debt</t>
  </si>
  <si>
    <t>Market Cap</t>
  </si>
  <si>
    <t>Total</t>
  </si>
  <si>
    <t>Weight of Debt</t>
  </si>
  <si>
    <t>Weight of Equity</t>
  </si>
  <si>
    <t>WACC Calculation</t>
  </si>
  <si>
    <t>Weight of Debt + Equity Calculation</t>
  </si>
  <si>
    <t>Share Dilution YoY</t>
  </si>
  <si>
    <t>Share Dilution (5yr)</t>
  </si>
  <si>
    <t>Assumptions</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</si>
  <si>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</si>
  <si>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</si>
  <si>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</si>
  <si>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</si>
  <si>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</si>
  <si>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</si>
  <si>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</si>
  <si>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</si>
  <si>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</si>
  <si>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</si>
  <si>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</si>
  <si>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</si>
  <si>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</si>
  <si>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</si>
  <si>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Vehicle Deliveries</t>
  </si>
  <si>
    <t>P/S</t>
  </si>
  <si>
    <t>P/E</t>
  </si>
  <si>
    <t>P/FCF</t>
  </si>
  <si>
    <t>Net Cash</t>
  </si>
  <si>
    <t>Vehicle Deliveries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</si>
</sst>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sz val="14"/>
      <color rgb="FF000000"/>
      <name val="Calibri"/>
      <family val="2"/>
    </font>
    <font>
      <b/>
      <i/>
      <sz val="14"/>
      <color rgb="FF000000"/>
      <name val="Calibri"/>
      <family val="2"/>
    </font>
    <font>
      <i/>
      <sz val="14"/>
      <color rgb="FF000000"/>
      <name val="Calibri"/>
      <family val="2"/>
    </font>
    <font>
      <u/>
      <sz val="14"/>
      <color rgb="FF000000"/>
      <name val="Calibri"/>
      <family val="1"/>
    </font>
    <font>
      <b/>
      <u/>
      <sz val="16"/>
      <color rgb="FF000000"/>
      <name val="Calibri"/>
      <family val="2"/>
    </font>
    <font>
      <b/>
      <sz val="16"/>
      <color rgb="FF000000"/>
      <name val="Calibri"/>
      <family val="2"/>
    </font>
    <font>
      <sz val="14"/>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1" fillId="0" borderId="0" xfId="0" applyNumberFormat="1"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37" fontId="1" fillId="0" borderId="0" xfId="0" applyNumberFormat="1" applyFont="1"/>
    <xf numFmtId="10" fontId="8" fillId="3" borderId="9" xfId="0" applyNumberFormat="1" applyFont="1" applyFill="1" applyBorder="1"/>
    <xf numFmtId="0" fontId="8" fillId="3" borderId="6" xfId="0" applyFont="1" applyFill="1" applyBorder="1" applyAlignment="1">
      <alignment horizontal="left" vertical="center" wrapText="1"/>
    </xf>
    <xf numFmtId="9" fontId="14" fillId="0" borderId="6" xfId="0" applyNumberFormat="1" applyFont="1" applyBorder="1" applyAlignment="1">
      <alignment horizontal="center"/>
    </xf>
    <xf numFmtId="2" fontId="14" fillId="0" borderId="9" xfId="0" applyNumberFormat="1" applyFont="1" applyBorder="1" applyAlignment="1">
      <alignment horizontal="center"/>
    </xf>
    <xf numFmtId="10" fontId="1" fillId="0" borderId="0" xfId="0" applyNumberFormat="1" applyFont="1"/>
    <xf numFmtId="164" fontId="10" fillId="5" borderId="0" xfId="0" applyNumberFormat="1" applyFont="1" applyFill="1"/>
    <xf numFmtId="0" fontId="0" fillId="5" borderId="0" xfId="0" applyFill="1"/>
    <xf numFmtId="9" fontId="16" fillId="5" borderId="5" xfId="0" applyNumberFormat="1" applyFont="1" applyFill="1" applyBorder="1" applyAlignment="1">
      <alignment wrapText="1"/>
    </xf>
    <xf numFmtId="10" fontId="1" fillId="5" borderId="8"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5" xfId="0" applyFont="1" applyFill="1" applyBorder="1" applyAlignment="1">
      <alignment wrapText="1"/>
    </xf>
    <xf numFmtId="10" fontId="1" fillId="6" borderId="8" xfId="0" applyNumberFormat="1" applyFont="1" applyFill="1" applyBorder="1" applyAlignment="1">
      <alignment horizontal="right" vertical="center"/>
    </xf>
    <xf numFmtId="0" fontId="16" fillId="5" borderId="6" xfId="0" applyFont="1" applyFill="1" applyBorder="1"/>
    <xf numFmtId="10" fontId="1" fillId="5" borderId="9" xfId="0" applyNumberFormat="1" applyFont="1" applyFill="1" applyBorder="1" applyAlignment="1">
      <alignment horizontal="right" vertical="center"/>
    </xf>
    <xf numFmtId="164" fontId="1" fillId="5" borderId="5" xfId="0" applyNumberFormat="1" applyFont="1" applyFill="1" applyBorder="1" applyAlignment="1">
      <alignment wrapText="1"/>
    </xf>
    <xf numFmtId="164" fontId="1" fillId="5" borderId="8" xfId="0" applyNumberFormat="1" applyFont="1" applyFill="1" applyBorder="1"/>
    <xf numFmtId="164" fontId="1" fillId="3" borderId="5" xfId="0" applyNumberFormat="1" applyFont="1" applyFill="1" applyBorder="1" applyAlignment="1">
      <alignment wrapText="1"/>
    </xf>
    <xf numFmtId="164" fontId="1" fillId="3" borderId="6" xfId="0" applyNumberFormat="1" applyFont="1" applyFill="1" applyBorder="1" applyAlignment="1">
      <alignment wrapText="1"/>
    </xf>
    <xf numFmtId="9" fontId="8" fillId="3" borderId="9" xfId="1" applyFont="1" applyFill="1" applyBorder="1"/>
    <xf numFmtId="0" fontId="8" fillId="3" borderId="9" xfId="0" applyFont="1" applyFill="1" applyBorder="1" applyAlignment="1">
      <alignment horizontal="right"/>
    </xf>
    <xf numFmtId="0" fontId="8" fillId="7" borderId="13" xfId="0" applyFont="1" applyFill="1" applyBorder="1" applyAlignment="1">
      <alignment horizontal="center" vertical="center" wrapText="1"/>
    </xf>
    <xf numFmtId="0" fontId="8" fillId="7" borderId="7" xfId="0" applyFont="1" applyFill="1" applyBorder="1" applyAlignment="1">
      <alignment horizontal="center" vertical="center" wrapText="1"/>
    </xf>
    <xf numFmtId="9" fontId="14" fillId="0" borderId="14" xfId="0" applyNumberFormat="1" applyFont="1" applyBorder="1" applyAlignment="1">
      <alignment horizontal="center"/>
    </xf>
    <xf numFmtId="9" fontId="14" fillId="0" borderId="9" xfId="0" applyNumberFormat="1" applyFont="1" applyBorder="1" applyAlignment="1">
      <alignment horizontal="center"/>
    </xf>
    <xf numFmtId="2" fontId="14" fillId="0" borderId="6" xfId="0" applyNumberFormat="1" applyFont="1" applyBorder="1" applyAlignment="1">
      <alignment horizontal="center"/>
    </xf>
    <xf numFmtId="2" fontId="14"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8" xfId="0" applyNumberFormat="1" applyFont="1" applyFill="1" applyBorder="1" applyAlignment="1">
      <alignment wrapText="1"/>
    </xf>
    <xf numFmtId="0" fontId="14" fillId="5" borderId="5" xfId="0" applyFont="1" applyFill="1" applyBorder="1" applyAlignment="1">
      <alignment horizontal="left" vertical="center" wrapText="1"/>
    </xf>
    <xf numFmtId="164" fontId="14" fillId="5" borderId="8" xfId="0" applyNumberFormat="1" applyFont="1" applyFill="1" applyBorder="1"/>
    <xf numFmtId="0" fontId="8" fillId="5" borderId="5" xfId="0" applyFont="1" applyFill="1" applyBorder="1" applyAlignment="1">
      <alignment horizontal="left" vertical="center" wrapText="1"/>
    </xf>
    <xf numFmtId="10" fontId="8" fillId="5" borderId="8" xfId="0" applyNumberFormat="1" applyFont="1" applyFill="1" applyBorder="1"/>
    <xf numFmtId="0" fontId="8" fillId="5" borderId="6" xfId="0" applyFont="1" applyFill="1" applyBorder="1" applyAlignment="1">
      <alignment horizontal="left" vertical="center" wrapText="1"/>
    </xf>
    <xf numFmtId="10" fontId="8" fillId="5" borderId="9" xfId="0" applyNumberFormat="1" applyFont="1" applyFill="1" applyBorder="1"/>
    <xf numFmtId="10" fontId="14" fillId="5" borderId="8" xfId="0" applyNumberFormat="1" applyFont="1" applyFill="1" applyBorder="1"/>
    <xf numFmtId="39" fontId="14" fillId="5" borderId="8" xfId="0" applyNumberFormat="1" applyFont="1" applyFill="1" applyBorder="1"/>
    <xf numFmtId="164" fontId="8" fillId="5" borderId="9" xfId="0" applyNumberFormat="1" applyFont="1" applyFill="1" applyBorder="1"/>
    <xf numFmtId="167" fontId="1" fillId="5" borderId="8" xfId="0" applyNumberFormat="1" applyFont="1" applyFill="1" applyBorder="1"/>
    <xf numFmtId="168" fontId="8" fillId="3" borderId="8" xfId="0" applyNumberFormat="1" applyFont="1" applyFill="1" applyBorder="1"/>
    <xf numFmtId="37" fontId="10" fillId="0" borderId="0" xfId="0" applyNumberFormat="1" applyFont="1"/>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8" fillId="4" borderId="10"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13" fillId="3" borderId="10" xfId="0" applyFont="1" applyFill="1" applyBorder="1" applyAlignment="1">
      <alignment horizontal="center"/>
    </xf>
    <xf numFmtId="0" fontId="12" fillId="3" borderId="7"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TSLA</a:t>
            </a:r>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87298949927613"/>
          <c:y val="0.13701091711362168"/>
          <c:w val="0.83871816643555708"/>
          <c:h val="0.76043668454486668"/>
        </c:manualLayout>
      </c:layout>
      <c:barChart>
        <c:barDir val="col"/>
        <c:grouping val="clustered"/>
        <c:varyColors val="0"/>
        <c:ser>
          <c:idx val="0"/>
          <c:order val="0"/>
          <c:tx>
            <c:strRef>
              <c:f>'Sheet 1'!$A$5</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1'!$B$5:$Q$5</c:f>
              <c:numCache>
                <c:formatCode>#,###,,;\(#,###,,\);\ \-\ \-</c:formatCode>
                <c:ptCount val="16"/>
                <c:pt idx="0">
                  <c:v>73000</c:v>
                </c:pt>
                <c:pt idx="1">
                  <c:v>14742000</c:v>
                </c:pt>
                <c:pt idx="2">
                  <c:v>111943000</c:v>
                </c:pt>
                <c:pt idx="3">
                  <c:v>116744000</c:v>
                </c:pt>
                <c:pt idx="4">
                  <c:v>204242000</c:v>
                </c:pt>
                <c:pt idx="5">
                  <c:v>413256000</c:v>
                </c:pt>
                <c:pt idx="6">
                  <c:v>2013496000</c:v>
                </c:pt>
                <c:pt idx="7">
                  <c:v>3198356000</c:v>
                </c:pt>
                <c:pt idx="8">
                  <c:v>4046025000</c:v>
                </c:pt>
                <c:pt idx="9">
                  <c:v>7000132000</c:v>
                </c:pt>
                <c:pt idx="10">
                  <c:v>11758751000</c:v>
                </c:pt>
                <c:pt idx="11">
                  <c:v>21461268000</c:v>
                </c:pt>
                <c:pt idx="12">
                  <c:v>24578000000</c:v>
                </c:pt>
                <c:pt idx="13">
                  <c:v>31536000000</c:v>
                </c:pt>
                <c:pt idx="14">
                  <c:v>53823000000</c:v>
                </c:pt>
                <c:pt idx="15">
                  <c:v>81462000000</c:v>
                </c:pt>
              </c:numCache>
            </c:numRef>
          </c:val>
          <c:extLst>
            <c:ext xmlns:c16="http://schemas.microsoft.com/office/drawing/2014/chart" uri="{C3380CC4-5D6E-409C-BE32-E72D297353CC}">
              <c16:uniqueId val="{00000000-A12A-FF41-9E68-F078698961FA}"/>
            </c:ext>
          </c:extLst>
        </c:ser>
        <c:ser>
          <c:idx val="1"/>
          <c:order val="1"/>
          <c:tx>
            <c:strRef>
              <c:f>'Sheet 1'!$A$21</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1'!$B$21:$Q$21</c:f>
              <c:numCache>
                <c:formatCode>#,###,,;\(#,###,,\);\ \-\ \-</c:formatCode>
                <c:ptCount val="16"/>
                <c:pt idx="0">
                  <c:v>-73403000</c:v>
                </c:pt>
                <c:pt idx="1">
                  <c:v>-74781000</c:v>
                </c:pt>
                <c:pt idx="2">
                  <c:v>-46243000</c:v>
                </c:pt>
                <c:pt idx="3">
                  <c:v>-142540000</c:v>
                </c:pt>
                <c:pt idx="4">
                  <c:v>-236960000</c:v>
                </c:pt>
                <c:pt idx="5">
                  <c:v>-366998000</c:v>
                </c:pt>
                <c:pt idx="6">
                  <c:v>67591000</c:v>
                </c:pt>
                <c:pt idx="7">
                  <c:v>48181000</c:v>
                </c:pt>
                <c:pt idx="8">
                  <c:v>-334183000</c:v>
                </c:pt>
                <c:pt idx="9">
                  <c:v>497693000</c:v>
                </c:pt>
                <c:pt idx="10">
                  <c:v>177408000</c:v>
                </c:pt>
                <c:pt idx="11">
                  <c:v>1645867000</c:v>
                </c:pt>
                <c:pt idx="12">
                  <c:v>2087000000</c:v>
                </c:pt>
                <c:pt idx="13">
                  <c:v>4052000000</c:v>
                </c:pt>
                <c:pt idx="14">
                  <c:v>9500000000</c:v>
                </c:pt>
                <c:pt idx="15">
                  <c:v>17626000000</c:v>
                </c:pt>
              </c:numCache>
            </c:numRef>
          </c:val>
          <c:extLst>
            <c:ext xmlns:c16="http://schemas.microsoft.com/office/drawing/2014/chart" uri="{C3380CC4-5D6E-409C-BE32-E72D297353CC}">
              <c16:uniqueId val="{00000001-A12A-FF41-9E68-F078698961FA}"/>
            </c:ext>
          </c:extLst>
        </c:ser>
        <c:ser>
          <c:idx val="2"/>
          <c:order val="2"/>
          <c:tx>
            <c:strRef>
              <c:f>'Sheet 1'!$A$108</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1'!$B$108:$Q$108</c:f>
              <c:numCache>
                <c:formatCode>#,###,,;\(#,###,,\);\ \-\ \-</c:formatCode>
                <c:ptCount val="16"/>
                <c:pt idx="0">
                  <c:v>-63271000</c:v>
                </c:pt>
                <c:pt idx="1">
                  <c:v>-62042000</c:v>
                </c:pt>
                <c:pt idx="2">
                  <c:v>-92709000</c:v>
                </c:pt>
                <c:pt idx="3">
                  <c:v>-168020000</c:v>
                </c:pt>
                <c:pt idx="4">
                  <c:v>-312260000</c:v>
                </c:pt>
                <c:pt idx="5">
                  <c:v>-505309000</c:v>
                </c:pt>
                <c:pt idx="6">
                  <c:v>-6230000</c:v>
                </c:pt>
                <c:pt idx="7">
                  <c:v>-1027222000</c:v>
                </c:pt>
                <c:pt idx="8">
                  <c:v>-2159349000</c:v>
                </c:pt>
                <c:pt idx="9">
                  <c:v>-1564300000</c:v>
                </c:pt>
                <c:pt idx="10">
                  <c:v>-4142008000</c:v>
                </c:pt>
                <c:pt idx="11">
                  <c:v>-221714000</c:v>
                </c:pt>
                <c:pt idx="12">
                  <c:v>968000000</c:v>
                </c:pt>
                <c:pt idx="13">
                  <c:v>2701000000</c:v>
                </c:pt>
                <c:pt idx="14">
                  <c:v>3483000000</c:v>
                </c:pt>
                <c:pt idx="15">
                  <c:v>7561000000</c:v>
                </c:pt>
              </c:numCache>
            </c:numRef>
          </c:val>
          <c:extLst>
            <c:ext xmlns:c16="http://schemas.microsoft.com/office/drawing/2014/chart" uri="{C3380CC4-5D6E-409C-BE32-E72D297353CC}">
              <c16:uniqueId val="{00000002-A12A-FF41-9E68-F078698961FA}"/>
            </c:ext>
          </c:extLst>
        </c:ser>
        <c:dLbls>
          <c:showLegendKey val="0"/>
          <c:showVal val="0"/>
          <c:showCatName val="0"/>
          <c:showSerName val="0"/>
          <c:showPercent val="0"/>
          <c:showBubbleSize val="0"/>
        </c:dLbls>
        <c:gapWidth val="100"/>
        <c:overlap val="-24"/>
        <c:axId val="1629625855"/>
        <c:axId val="1629503615"/>
      </c:barChart>
      <c:catAx>
        <c:axId val="16296258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9503615"/>
        <c:crosses val="autoZero"/>
        <c:auto val="1"/>
        <c:lblAlgn val="ctr"/>
        <c:lblOffset val="100"/>
        <c:noMultiLvlLbl val="0"/>
      </c:catAx>
      <c:valAx>
        <c:axId val="1629503615"/>
        <c:scaling>
          <c:orientation val="minMax"/>
          <c:min val="-5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629625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34925</xdr:colOff>
      <xdr:row>110</xdr:row>
      <xdr:rowOff>33866</xdr:rowOff>
    </xdr:from>
    <xdr:to>
      <xdr:col>25</xdr:col>
      <xdr:colOff>0</xdr:colOff>
      <xdr:row>132</xdr:row>
      <xdr:rowOff>55033</xdr:rowOff>
    </xdr:to>
    <xdr:graphicFrame macro="">
      <xdr:nvGraphicFramePr>
        <xdr:cNvPr id="2" name="Chart 1">
          <a:extLst>
            <a:ext uri="{FF2B5EF4-FFF2-40B4-BE49-F238E27FC236}">
              <a16:creationId xmlns:a16="http://schemas.microsoft.com/office/drawing/2014/main" id="{3DCE937A-9724-1209-1472-DFD4F92260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364.07299999999998</v>
    <v>101.81</v>
    <v>2.0164</v>
    <v>2.09</v>
    <v>1.2822999999999999E-2</v>
    <v>-7.0000000000000007E-2</v>
    <v>-4.2400000000000001E-4</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166</v>
    <v>Automobiles &amp; Auto Parts</v>
    <v>Stock</v>
    <v>45037.999998113279</v>
    <v>0</v>
    <v>161.32079999999999</v>
    <v>523190400000</v>
    <v>TESLA, INC.</v>
    <v>TESLA, INC.</v>
    <v>164.8</v>
    <v>47.986699999999999</v>
    <v>162.99</v>
    <v>165.08</v>
    <v>165.01</v>
    <v>3169314000</v>
    <v>TSLA</v>
    <v>TESLA, INC. (XNAS:TSLA)</v>
    <v>123538954</v>
    <v>131565047</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8605/000119312513096241/0001193125-13-096241-index.htm" TargetMode="External"/><Relationship Id="rId18" Type="http://schemas.openxmlformats.org/officeDocument/2006/relationships/hyperlink" Target="https://www.sec.gov/Archives/edgar/data/1318605/000156459016013195/0001564590-16-013195-index.htm" TargetMode="External"/><Relationship Id="rId26" Type="http://schemas.openxmlformats.org/officeDocument/2006/relationships/hyperlink" Target="https://www.sec.gov/Archives/edgar/data/1318605/000156459020004475/0001564590-20-004475-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18605/000156459017003118/0001564590-17-003118-index.htm" TargetMode="External"/><Relationship Id="rId34" Type="http://schemas.openxmlformats.org/officeDocument/2006/relationships/hyperlink" Target="https://finbox.com/NASDAQGS:TSLA/explorer/revenue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18605/000119312513096241/0001193125-13-096241-index.htm" TargetMode="External"/><Relationship Id="rId17" Type="http://schemas.openxmlformats.org/officeDocument/2006/relationships/hyperlink" Target="https://www.sec.gov/Archives/edgar/data/1318605/000156459015001031/0001564590-15-001031-index.htm" TargetMode="External"/><Relationship Id="rId25" Type="http://schemas.openxmlformats.org/officeDocument/2006/relationships/hyperlink" Target="https://www.sec.gov/Archives/edgar/data/1318605/000156459019003165/0001564590-19-003165-index.htm" TargetMode="External"/><Relationship Id="rId33" Type="http://schemas.openxmlformats.org/officeDocument/2006/relationships/hyperlink" Target="https://www.sec.gov/Archives/edgar/data/1318605/000095017023001409/0000950170-23-0014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8605/000156459015001031/0001564590-15-001031-index.htm" TargetMode="External"/><Relationship Id="rId20" Type="http://schemas.openxmlformats.org/officeDocument/2006/relationships/hyperlink" Target="https://www.sec.gov/Archives/edgar/data/1318605/000156459017003118/0001564590-17-003118-index.htm" TargetMode="External"/><Relationship Id="rId29" Type="http://schemas.openxmlformats.org/officeDocument/2006/relationships/hyperlink" Target="https://www.sec.gov/Archives/edgar/data/1318605/000156459021004599/0001564590-21-004599-index.htm" TargetMode="External"/><Relationship Id="rId1" Type="http://schemas.openxmlformats.org/officeDocument/2006/relationships/hyperlink" Target="https://roic.ai/company/TSL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8605/000119312512081990/0001193125-12-081990-index.htm" TargetMode="External"/><Relationship Id="rId24" Type="http://schemas.openxmlformats.org/officeDocument/2006/relationships/hyperlink" Target="https://www.sec.gov/Archives/edgar/data/1318605/000156459019003165/0001564590-19-003165-index.htm" TargetMode="External"/><Relationship Id="rId32" Type="http://schemas.openxmlformats.org/officeDocument/2006/relationships/hyperlink" Target="https://www.sec.gov/Archives/edgar/data/1318605/000095017023001409/0000950170-23-00140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8605/000119312514069681/0001193125-14-069681-index.htm" TargetMode="External"/><Relationship Id="rId23" Type="http://schemas.openxmlformats.org/officeDocument/2006/relationships/hyperlink" Target="https://www.sec.gov/Archives/edgar/data/1318605/000156459018002956/0001564590-18-002956-index.htm" TargetMode="External"/><Relationship Id="rId28" Type="http://schemas.openxmlformats.org/officeDocument/2006/relationships/hyperlink" Target="https://www.sec.gov/Archives/edgar/data/1318605/000156459021004599/0001564590-21-004599-index.htm" TargetMode="External"/><Relationship Id="rId10" Type="http://schemas.openxmlformats.org/officeDocument/2006/relationships/hyperlink" Target="https://www.sec.gov/Archives/edgar/data/1318605/000119312512081990/0001193125-12-081990-index.htm" TargetMode="External"/><Relationship Id="rId19" Type="http://schemas.openxmlformats.org/officeDocument/2006/relationships/hyperlink" Target="https://www.sec.gov/Archives/edgar/data/1318605/000156459016013195/0001564590-16-013195-index.htm" TargetMode="External"/><Relationship Id="rId31" Type="http://schemas.openxmlformats.org/officeDocument/2006/relationships/hyperlink" Target="https://www.sec.gov/Archives/edgar/data/1318605/000095017022000796/0000950170-22-00079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18605/000119312511054847/0001193125-11-054847-index.htm" TargetMode="External"/><Relationship Id="rId14" Type="http://schemas.openxmlformats.org/officeDocument/2006/relationships/hyperlink" Target="https://www.sec.gov/Archives/edgar/data/1318605/000119312514069681/0001193125-14-069681-index.htm" TargetMode="External"/><Relationship Id="rId22" Type="http://schemas.openxmlformats.org/officeDocument/2006/relationships/hyperlink" Target="https://www.sec.gov/Archives/edgar/data/1318605/000156459018002956/0001564590-18-002956-index.htm" TargetMode="External"/><Relationship Id="rId27" Type="http://schemas.openxmlformats.org/officeDocument/2006/relationships/hyperlink" Target="https://www.sec.gov/Archives/edgar/data/1318605/000156459020004475/0001564590-20-004475-index.htm" TargetMode="External"/><Relationship Id="rId30" Type="http://schemas.openxmlformats.org/officeDocument/2006/relationships/hyperlink" Target="https://www.sec.gov/Archives/edgar/data/1318605/000095017022000796/0000950170-22-000796-index.htm" TargetMode="External"/><Relationship Id="rId35" Type="http://schemas.openxmlformats.org/officeDocument/2006/relationships/drawing" Target="../drawings/drawing1.xml"/><Relationship Id="rId8" Type="http://schemas.openxmlformats.org/officeDocument/2006/relationships/hyperlink" Target="https://www.sec.gov/Archives/edgar/data/1318605/000119312511054847/0001193125-11-05484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zoomScale="80" zoomScaleNormal="80" workbookViewId="0">
      <pane xSplit="1" ySplit="1" topLeftCell="P80" activePane="bottomRight" state="frozen"/>
      <selection pane="topRight"/>
      <selection pane="bottomLeft"/>
      <selection pane="bottomRight" activeCell="T101" sqref="T101"/>
    </sheetView>
  </sheetViews>
  <sheetFormatPr baseColWidth="10" defaultRowHeight="16" x14ac:dyDescent="0.2"/>
  <cols>
    <col min="1" max="1" width="50" customWidth="1"/>
    <col min="2" max="17" width="15" customWidth="1"/>
    <col min="18" max="20" width="18.83203125" customWidth="1"/>
    <col min="21" max="22" width="19" customWidth="1"/>
    <col min="23" max="26" width="21.1640625"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16">
        <v>2023</v>
      </c>
      <c r="S1" s="16">
        <v>2024</v>
      </c>
      <c r="T1" s="16">
        <v>2025</v>
      </c>
      <c r="U1" s="16">
        <v>2026</v>
      </c>
      <c r="V1" s="16">
        <v>2027</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row>
    <row r="3" spans="1:26" ht="19" x14ac:dyDescent="0.25">
      <c r="A3" s="14" t="s">
        <v>156</v>
      </c>
      <c r="B3" s="1"/>
      <c r="C3" s="1"/>
      <c r="D3" s="1"/>
      <c r="E3" s="1"/>
      <c r="F3" s="1"/>
      <c r="G3" s="20">
        <v>2600</v>
      </c>
      <c r="H3" s="20">
        <v>22400</v>
      </c>
      <c r="I3" s="20">
        <v>32000</v>
      </c>
      <c r="J3" s="20">
        <v>50000</v>
      </c>
      <c r="K3" s="20">
        <v>76200</v>
      </c>
      <c r="L3" s="20">
        <v>103100</v>
      </c>
      <c r="M3" s="20">
        <v>245200</v>
      </c>
      <c r="N3" s="20">
        <v>367500</v>
      </c>
      <c r="O3" s="20">
        <v>499550</v>
      </c>
      <c r="P3" s="20">
        <v>936172</v>
      </c>
      <c r="Q3" s="20">
        <v>1313851</v>
      </c>
      <c r="R3" s="61">
        <f>422875*4</f>
        <v>1691500</v>
      </c>
      <c r="S3" s="20"/>
      <c r="T3" s="1"/>
      <c r="U3" s="1"/>
      <c r="V3" s="1"/>
      <c r="W3" s="1"/>
      <c r="X3" s="1"/>
      <c r="Y3" s="1"/>
      <c r="Z3" s="1"/>
    </row>
    <row r="4" spans="1:26" ht="19" x14ac:dyDescent="0.25">
      <c r="A4" s="14" t="s">
        <v>161</v>
      </c>
      <c r="B4" s="1"/>
      <c r="C4" s="15" t="e">
        <f>(C3/B3)-1</f>
        <v>#DIV/0!</v>
      </c>
      <c r="D4" s="15" t="e">
        <f>(D3/C3)-1</f>
        <v>#DIV/0!</v>
      </c>
      <c r="E4" s="15" t="e">
        <f>(E3/D3)-1</f>
        <v>#DIV/0!</v>
      </c>
      <c r="F4" s="15" t="e">
        <f t="shared" ref="F4" si="0">(F3/E3)-1</f>
        <v>#DIV/0!</v>
      </c>
      <c r="G4" s="15" t="e">
        <f t="shared" ref="G4" si="1">(G3/F3)-1</f>
        <v>#DIV/0!</v>
      </c>
      <c r="H4" s="15">
        <f t="shared" ref="H4" si="2">(H3/G3)-1</f>
        <v>7.615384615384615</v>
      </c>
      <c r="I4" s="15">
        <f t="shared" ref="I4" si="3">(I3/H3)-1</f>
        <v>0.4285714285714286</v>
      </c>
      <c r="J4" s="15">
        <f t="shared" ref="J4" si="4">(J3/I3)-1</f>
        <v>0.5625</v>
      </c>
      <c r="K4" s="15">
        <f t="shared" ref="K4" si="5">(K3/J3)-1</f>
        <v>0.52400000000000002</v>
      </c>
      <c r="L4" s="15">
        <f t="shared" ref="L4" si="6">(L3/K3)-1</f>
        <v>0.35301837270341196</v>
      </c>
      <c r="M4" s="15">
        <f t="shared" ref="M4" si="7">(M3/L3)-1</f>
        <v>1.3782735208535404</v>
      </c>
      <c r="N4" s="15">
        <f t="shared" ref="N4" si="8">(N3/M3)-1</f>
        <v>0.49877650897226755</v>
      </c>
      <c r="O4" s="15">
        <f t="shared" ref="O4" si="9">(O3/N3)-1</f>
        <v>0.3593197278911564</v>
      </c>
      <c r="P4" s="15">
        <f t="shared" ref="P4" si="10">(P3/O3)-1</f>
        <v>0.87403062756480843</v>
      </c>
      <c r="Q4" s="15">
        <f t="shared" ref="Q4" si="11">(Q3/P3)-1</f>
        <v>0.40342907072631951</v>
      </c>
      <c r="R4" s="18">
        <f t="shared" ref="R4" si="12">(R3/Q3)-1</f>
        <v>0.28743670324869419</v>
      </c>
      <c r="S4" s="18"/>
      <c r="T4" s="18"/>
      <c r="U4" s="18"/>
      <c r="V4" s="18"/>
      <c r="W4" s="44"/>
      <c r="X4" s="44"/>
      <c r="Y4" s="44"/>
      <c r="Z4" s="44"/>
    </row>
    <row r="5" spans="1:26" ht="40" x14ac:dyDescent="0.25">
      <c r="A5" s="5" t="s">
        <v>1</v>
      </c>
      <c r="B5" s="1">
        <v>73000</v>
      </c>
      <c r="C5" s="1">
        <v>14742000</v>
      </c>
      <c r="D5" s="1">
        <v>111943000</v>
      </c>
      <c r="E5" s="1">
        <v>116744000</v>
      </c>
      <c r="F5" s="1">
        <v>204242000</v>
      </c>
      <c r="G5" s="1">
        <v>413256000</v>
      </c>
      <c r="H5" s="1">
        <v>2013496000</v>
      </c>
      <c r="I5" s="1">
        <v>3198356000</v>
      </c>
      <c r="J5" s="1">
        <v>4046025000</v>
      </c>
      <c r="K5" s="1">
        <v>7000132000</v>
      </c>
      <c r="L5" s="1">
        <v>11758751000</v>
      </c>
      <c r="M5" s="1">
        <v>21461268000</v>
      </c>
      <c r="N5" s="1">
        <v>24578000000</v>
      </c>
      <c r="O5" s="1">
        <v>31536000000</v>
      </c>
      <c r="P5" s="1">
        <v>53823000000</v>
      </c>
      <c r="Q5" s="1">
        <v>81462000000</v>
      </c>
      <c r="R5" s="17">
        <v>102000000000</v>
      </c>
      <c r="S5" s="17">
        <v>132300000000</v>
      </c>
      <c r="T5" s="17">
        <v>152800000000</v>
      </c>
      <c r="U5" s="17">
        <v>164500000000</v>
      </c>
      <c r="V5" s="17">
        <v>210100000000</v>
      </c>
      <c r="W5" s="42" t="s">
        <v>100</v>
      </c>
      <c r="X5" s="43" t="s">
        <v>98</v>
      </c>
      <c r="Y5" s="43" t="s">
        <v>99</v>
      </c>
      <c r="Z5" s="43" t="s">
        <v>101</v>
      </c>
    </row>
    <row r="6" spans="1:26" ht="19" x14ac:dyDescent="0.25">
      <c r="A6" s="19" t="s">
        <v>94</v>
      </c>
      <c r="B6" s="1"/>
      <c r="C6" s="15">
        <f>(C5/B5)-1</f>
        <v>200.94520547945206</v>
      </c>
      <c r="D6" s="15">
        <f>(D5/C5)-1</f>
        <v>6.5934744268077603</v>
      </c>
      <c r="E6" s="15">
        <f>(E5/D5)-1</f>
        <v>4.2887898305387528E-2</v>
      </c>
      <c r="F6" s="15">
        <f t="shared" ref="F6:Q6" si="13">(F5/E5)-1</f>
        <v>0.74948605495785658</v>
      </c>
      <c r="G6" s="15">
        <f t="shared" si="13"/>
        <v>1.0233644402228728</v>
      </c>
      <c r="H6" s="15">
        <f t="shared" si="13"/>
        <v>3.8722728768608317</v>
      </c>
      <c r="I6" s="15">
        <f t="shared" si="13"/>
        <v>0.58845907814070642</v>
      </c>
      <c r="J6" s="15">
        <f t="shared" si="13"/>
        <v>0.26503272306147285</v>
      </c>
      <c r="K6" s="15">
        <f t="shared" si="13"/>
        <v>0.73012574069611524</v>
      </c>
      <c r="L6" s="15">
        <f t="shared" si="13"/>
        <v>0.67978989539054413</v>
      </c>
      <c r="M6" s="15">
        <f t="shared" si="13"/>
        <v>0.82513159773516764</v>
      </c>
      <c r="N6" s="15">
        <f t="shared" si="13"/>
        <v>0.14522590184326489</v>
      </c>
      <c r="O6" s="15">
        <f t="shared" si="13"/>
        <v>0.28309870615998056</v>
      </c>
      <c r="P6" s="15">
        <f t="shared" si="13"/>
        <v>0.70671613394216126</v>
      </c>
      <c r="Q6" s="15">
        <f t="shared" si="13"/>
        <v>0.51351652639206291</v>
      </c>
      <c r="R6" s="18">
        <f t="shared" ref="R6" si="14">(R5/Q5)-1</f>
        <v>0.25211755174191652</v>
      </c>
      <c r="S6" s="18">
        <f t="shared" ref="S6" si="15">(S5/R5)-1</f>
        <v>0.29705882352941182</v>
      </c>
      <c r="T6" s="18">
        <f t="shared" ref="T6" si="16">(T5/S5)-1</f>
        <v>0.15495086923658352</v>
      </c>
      <c r="U6" s="18">
        <f>(U5/T5)-1</f>
        <v>7.6570680628272214E-2</v>
      </c>
      <c r="V6" s="18">
        <f t="shared" ref="V6" si="17">(V5/U5)-1</f>
        <v>0.27720364741641346</v>
      </c>
      <c r="W6" s="44">
        <f>(Q6+P6+O6)/3</f>
        <v>0.50111045549806821</v>
      </c>
      <c r="X6" s="44">
        <f>(Q22+P22+O22)/3</f>
        <v>1.0471441765542473</v>
      </c>
      <c r="Y6" s="44">
        <f>(Q31+P31+O31)/3</f>
        <v>2.1577121717940262</v>
      </c>
      <c r="Z6" s="44">
        <f>(Q107+P107+O107)/3</f>
        <v>1.083547133260981</v>
      </c>
    </row>
    <row r="7" spans="1:26" ht="19" x14ac:dyDescent="0.25">
      <c r="A7" s="5" t="s">
        <v>2</v>
      </c>
      <c r="B7" s="1">
        <v>9000</v>
      </c>
      <c r="C7" s="1">
        <v>15883000</v>
      </c>
      <c r="D7" s="1">
        <v>102408000</v>
      </c>
      <c r="E7" s="1">
        <v>86013000</v>
      </c>
      <c r="F7" s="1">
        <v>142647000</v>
      </c>
      <c r="G7" s="1">
        <v>383189000</v>
      </c>
      <c r="H7" s="1">
        <v>1557234000</v>
      </c>
      <c r="I7" s="1">
        <v>2316685000</v>
      </c>
      <c r="J7" s="1">
        <v>3122522000</v>
      </c>
      <c r="K7" s="1">
        <v>5400875000</v>
      </c>
      <c r="L7" s="1">
        <v>9536264000</v>
      </c>
      <c r="M7" s="1">
        <v>17419247000</v>
      </c>
      <c r="N7" s="1">
        <v>20509000000</v>
      </c>
      <c r="O7" s="1">
        <v>24906000000</v>
      </c>
      <c r="P7" s="1">
        <v>40217000000</v>
      </c>
      <c r="Q7" s="1">
        <v>60609000000</v>
      </c>
    </row>
    <row r="8" spans="1:26" ht="20" customHeight="1" x14ac:dyDescent="0.25">
      <c r="A8" s="6" t="s">
        <v>3</v>
      </c>
      <c r="B8" s="10">
        <v>64000</v>
      </c>
      <c r="C8" s="10">
        <v>-1141000</v>
      </c>
      <c r="D8" s="10">
        <v>9535000</v>
      </c>
      <c r="E8" s="10">
        <v>30731000</v>
      </c>
      <c r="F8" s="10">
        <v>61595000</v>
      </c>
      <c r="G8" s="10">
        <v>30067000</v>
      </c>
      <c r="H8" s="10">
        <v>456262000</v>
      </c>
      <c r="I8" s="10">
        <v>881671000</v>
      </c>
      <c r="J8" s="10">
        <v>923503000</v>
      </c>
      <c r="K8" s="10">
        <v>1599257000</v>
      </c>
      <c r="L8" s="10">
        <v>2222487000</v>
      </c>
      <c r="M8" s="10">
        <v>4042021000</v>
      </c>
      <c r="N8" s="10">
        <v>4069000000</v>
      </c>
      <c r="O8" s="10">
        <v>6630000000</v>
      </c>
      <c r="P8" s="10">
        <v>13606000000</v>
      </c>
      <c r="Q8" s="10">
        <v>20853000000</v>
      </c>
      <c r="W8" s="42" t="s">
        <v>102</v>
      </c>
      <c r="X8" s="43" t="s">
        <v>103</v>
      </c>
      <c r="Y8" s="43" t="s">
        <v>104</v>
      </c>
      <c r="Z8" s="43" t="s">
        <v>105</v>
      </c>
    </row>
    <row r="9" spans="1:26" ht="19" x14ac:dyDescent="0.25">
      <c r="A9" s="14" t="s">
        <v>4</v>
      </c>
      <c r="B9" s="2">
        <v>0.87670000000000003</v>
      </c>
      <c r="C9" s="2">
        <v>-7.7399999999999997E-2</v>
      </c>
      <c r="D9" s="2">
        <v>8.5199999999999998E-2</v>
      </c>
      <c r="E9" s="2">
        <v>0.26319999999999999</v>
      </c>
      <c r="F9" s="2">
        <v>0.30159999999999998</v>
      </c>
      <c r="G9" s="2">
        <v>7.2800000000000004E-2</v>
      </c>
      <c r="H9" s="2">
        <v>0.2266</v>
      </c>
      <c r="I9" s="2">
        <v>0.2757</v>
      </c>
      <c r="J9" s="2">
        <v>0.22819999999999999</v>
      </c>
      <c r="K9" s="2">
        <v>0.22850000000000001</v>
      </c>
      <c r="L9" s="2">
        <v>0.189</v>
      </c>
      <c r="M9" s="2">
        <v>0.1883</v>
      </c>
      <c r="N9" s="2">
        <v>0.1656</v>
      </c>
      <c r="O9" s="2">
        <v>0.2102</v>
      </c>
      <c r="P9" s="2">
        <v>0.25280000000000002</v>
      </c>
      <c r="Q9" s="2">
        <v>0.25600000000000001</v>
      </c>
      <c r="W9" s="44">
        <f>Q9</f>
        <v>0.25600000000000001</v>
      </c>
      <c r="X9" s="45">
        <f>Q23</f>
        <v>0.21640000000000001</v>
      </c>
      <c r="Y9" s="45">
        <f>Q32</f>
        <v>0.15409999999999999</v>
      </c>
      <c r="Z9" s="45">
        <f>Q108/Q5</f>
        <v>9.281628243843755E-2</v>
      </c>
    </row>
    <row r="10" spans="1:26" ht="19" x14ac:dyDescent="0.25">
      <c r="A10" s="5" t="s">
        <v>5</v>
      </c>
      <c r="B10" s="1">
        <v>62753000</v>
      </c>
      <c r="C10" s="1">
        <v>53714000</v>
      </c>
      <c r="D10" s="1">
        <v>19282000</v>
      </c>
      <c r="E10" s="1">
        <v>92996000</v>
      </c>
      <c r="F10" s="1">
        <v>208981000</v>
      </c>
      <c r="G10" s="1">
        <v>273978000</v>
      </c>
      <c r="H10" s="1">
        <v>231976000</v>
      </c>
      <c r="I10" s="1">
        <v>464700000</v>
      </c>
      <c r="J10" s="1">
        <v>717900000</v>
      </c>
      <c r="K10" s="1">
        <v>834408000</v>
      </c>
      <c r="L10" s="1">
        <v>1378073000</v>
      </c>
      <c r="M10" s="1">
        <v>1460370000</v>
      </c>
      <c r="N10" s="1">
        <v>1343000000</v>
      </c>
      <c r="O10" s="1">
        <v>1491000000</v>
      </c>
      <c r="P10" s="1">
        <v>2593000000</v>
      </c>
      <c r="Q10" s="1">
        <v>3075000000</v>
      </c>
    </row>
    <row r="11" spans="1:26" ht="19" customHeight="1" x14ac:dyDescent="0.25">
      <c r="A11" s="19" t="s">
        <v>107</v>
      </c>
      <c r="B11" s="15">
        <f>B10/B5</f>
        <v>859.63013698630141</v>
      </c>
      <c r="C11" s="15">
        <f t="shared" ref="C11:Q11" si="18">C10/C5</f>
        <v>3.643603310269977</v>
      </c>
      <c r="D11" s="15">
        <f t="shared" si="18"/>
        <v>0.17224837640584942</v>
      </c>
      <c r="E11" s="15">
        <f t="shared" si="18"/>
        <v>0.79658055231960534</v>
      </c>
      <c r="F11" s="15">
        <f t="shared" si="18"/>
        <v>1.0232028671869644</v>
      </c>
      <c r="G11" s="15">
        <f t="shared" si="18"/>
        <v>0.66297404030431495</v>
      </c>
      <c r="H11" s="15">
        <f t="shared" si="18"/>
        <v>0.11521055914687688</v>
      </c>
      <c r="I11" s="15">
        <f t="shared" si="18"/>
        <v>0.14529339448141482</v>
      </c>
      <c r="J11" s="15">
        <f t="shared" si="18"/>
        <v>0.17743340686229075</v>
      </c>
      <c r="K11" s="15">
        <f t="shared" si="18"/>
        <v>0.11919889510654942</v>
      </c>
      <c r="L11" s="15">
        <f t="shared" si="18"/>
        <v>0.11719552527304983</v>
      </c>
      <c r="M11" s="15">
        <f t="shared" si="18"/>
        <v>6.8046771514152851E-2</v>
      </c>
      <c r="N11" s="15">
        <f t="shared" si="18"/>
        <v>5.4642363088941333E-2</v>
      </c>
      <c r="O11" s="15">
        <f t="shared" si="18"/>
        <v>4.7279299847792999E-2</v>
      </c>
      <c r="P11" s="15">
        <f t="shared" si="18"/>
        <v>4.817643015067908E-2</v>
      </c>
      <c r="Q11" s="15">
        <f t="shared" si="18"/>
        <v>3.7747661486337188E-2</v>
      </c>
      <c r="W11" s="42" t="s">
        <v>113</v>
      </c>
      <c r="X11" s="43" t="s">
        <v>112</v>
      </c>
      <c r="Y11" s="43" t="s">
        <v>110</v>
      </c>
      <c r="Z11" s="43" t="s">
        <v>111</v>
      </c>
    </row>
    <row r="12" spans="1:26" ht="19" x14ac:dyDescent="0.25">
      <c r="A12" s="5" t="s">
        <v>6</v>
      </c>
      <c r="B12" s="1" t="s">
        <v>92</v>
      </c>
      <c r="C12" s="1" t="s">
        <v>92</v>
      </c>
      <c r="D12" s="1" t="s">
        <v>92</v>
      </c>
      <c r="E12" s="1" t="s">
        <v>92</v>
      </c>
      <c r="F12" s="1" t="s">
        <v>92</v>
      </c>
      <c r="G12" s="1" t="s">
        <v>92</v>
      </c>
      <c r="H12" s="1" t="s">
        <v>92</v>
      </c>
      <c r="I12" s="1" t="s">
        <v>92</v>
      </c>
      <c r="J12" s="1" t="s">
        <v>92</v>
      </c>
      <c r="K12" s="1" t="s">
        <v>92</v>
      </c>
      <c r="L12" s="1" t="s">
        <v>92</v>
      </c>
      <c r="M12" s="1" t="s">
        <v>92</v>
      </c>
      <c r="N12" s="1" t="s">
        <v>92</v>
      </c>
      <c r="O12" s="1" t="s">
        <v>92</v>
      </c>
      <c r="P12" s="1" t="s">
        <v>92</v>
      </c>
      <c r="Q12" s="1" t="s">
        <v>92</v>
      </c>
      <c r="W12" s="44">
        <f>Q11</f>
        <v>3.7747661486337188E-2</v>
      </c>
      <c r="X12" s="45">
        <f>Q15</f>
        <v>4.8439763325231394E-2</v>
      </c>
      <c r="Y12" s="45">
        <f>Q82</f>
        <v>1.9150033144288134E-2</v>
      </c>
      <c r="Z12" s="45">
        <f>Q91</f>
        <v>8.7930568854189678E-2</v>
      </c>
    </row>
    <row r="13" spans="1:26" ht="19" x14ac:dyDescent="0.25">
      <c r="A13" s="5" t="s">
        <v>7</v>
      </c>
      <c r="B13" s="1" t="s">
        <v>92</v>
      </c>
      <c r="C13" s="1" t="s">
        <v>92</v>
      </c>
      <c r="D13" s="1" t="s">
        <v>92</v>
      </c>
      <c r="E13" s="1" t="s">
        <v>92</v>
      </c>
      <c r="F13" s="1" t="s">
        <v>92</v>
      </c>
      <c r="G13" s="1" t="s">
        <v>92</v>
      </c>
      <c r="H13" s="1" t="s">
        <v>92</v>
      </c>
      <c r="I13" s="1" t="s">
        <v>92</v>
      </c>
      <c r="J13" s="1" t="s">
        <v>92</v>
      </c>
      <c r="K13" s="1" t="s">
        <v>92</v>
      </c>
      <c r="L13" s="1" t="s">
        <v>92</v>
      </c>
      <c r="M13" s="1" t="s">
        <v>92</v>
      </c>
      <c r="N13" s="1" t="s">
        <v>92</v>
      </c>
      <c r="O13" s="1" t="s">
        <v>92</v>
      </c>
      <c r="P13" s="1" t="s">
        <v>92</v>
      </c>
      <c r="Q13" s="1" t="s">
        <v>92</v>
      </c>
    </row>
    <row r="14" spans="1:26" ht="20" customHeight="1" x14ac:dyDescent="0.25">
      <c r="A14" s="5" t="s">
        <v>8</v>
      </c>
      <c r="B14" s="1">
        <v>17244000</v>
      </c>
      <c r="C14" s="1">
        <v>23649000</v>
      </c>
      <c r="D14" s="1">
        <v>42150000</v>
      </c>
      <c r="E14" s="1">
        <v>84573000</v>
      </c>
      <c r="F14" s="1">
        <v>104102000</v>
      </c>
      <c r="G14" s="1">
        <v>150372000</v>
      </c>
      <c r="H14" s="1">
        <v>285569000</v>
      </c>
      <c r="I14" s="1">
        <v>603660000</v>
      </c>
      <c r="J14" s="1">
        <v>922232000</v>
      </c>
      <c r="K14" s="1">
        <v>1432189000</v>
      </c>
      <c r="L14" s="1">
        <v>2476500000</v>
      </c>
      <c r="M14" s="1">
        <v>2834491000</v>
      </c>
      <c r="N14" s="1">
        <v>2646000000</v>
      </c>
      <c r="O14" s="1">
        <v>3145000000</v>
      </c>
      <c r="P14" s="1">
        <v>4517000000</v>
      </c>
      <c r="Q14" s="1">
        <v>3946000000</v>
      </c>
      <c r="W14" s="42" t="s">
        <v>117</v>
      </c>
      <c r="X14" s="43" t="s">
        <v>116</v>
      </c>
      <c r="Y14" s="43" t="s">
        <v>115</v>
      </c>
      <c r="Z14" s="43" t="s">
        <v>114</v>
      </c>
    </row>
    <row r="15" spans="1:26" ht="19" x14ac:dyDescent="0.25">
      <c r="A15" s="19" t="s">
        <v>106</v>
      </c>
      <c r="B15" s="15">
        <f>B14/B5</f>
        <v>236.21917808219177</v>
      </c>
      <c r="C15" s="15">
        <f t="shared" ref="C15:D15" si="19">C14/C5</f>
        <v>1.6041921041921041</v>
      </c>
      <c r="D15" s="15">
        <f t="shared" si="19"/>
        <v>0.37653091305396497</v>
      </c>
      <c r="E15" s="15">
        <f t="shared" ref="E15" si="20">E14/E5</f>
        <v>0.72443123415336119</v>
      </c>
      <c r="F15" s="15">
        <f t="shared" ref="F15" si="21">F14/F5</f>
        <v>0.50969927830710626</v>
      </c>
      <c r="G15" s="15">
        <f t="shared" ref="G15" si="22">G14/G5</f>
        <v>0.36387130495383008</v>
      </c>
      <c r="H15" s="15">
        <f t="shared" ref="H15" si="23">H14/H5</f>
        <v>0.14182744837834294</v>
      </c>
      <c r="I15" s="15">
        <f t="shared" ref="I15" si="24">I14/I5</f>
        <v>0.18874071554261002</v>
      </c>
      <c r="J15" s="15">
        <f t="shared" ref="J15" si="25">J14/J5</f>
        <v>0.22793531923307445</v>
      </c>
      <c r="K15" s="15">
        <f t="shared" ref="K15" si="26">K14/K5</f>
        <v>0.2045945705023848</v>
      </c>
      <c r="L15" s="15">
        <f t="shared" ref="L15" si="27">L14/L5</f>
        <v>0.21060910295659802</v>
      </c>
      <c r="M15" s="15">
        <f t="shared" ref="M15" si="28">M14/M5</f>
        <v>0.13207472177319626</v>
      </c>
      <c r="N15" s="15">
        <f t="shared" ref="N15" si="29">N14/N5</f>
        <v>0.10765725445520384</v>
      </c>
      <c r="O15" s="15">
        <f t="shared" ref="O15" si="30">O14/O5</f>
        <v>9.9727295788939629E-2</v>
      </c>
      <c r="P15" s="15">
        <f t="shared" ref="P15" si="31">P14/P5</f>
        <v>8.3923229845976624E-2</v>
      </c>
      <c r="Q15" s="15">
        <f t="shared" ref="Q15" si="32">Q14/Q5</f>
        <v>4.8439763325231394E-2</v>
      </c>
      <c r="W15" s="44">
        <f>Q30/Q74</f>
        <v>0.28086972083035078</v>
      </c>
      <c r="X15" s="45">
        <f>Q30/Q56</f>
        <v>0.1524933809419709</v>
      </c>
      <c r="Y15" s="45">
        <f>Q24/(Q74+Q58+Q63)</f>
        <v>0.28567244733594127</v>
      </c>
      <c r="Z15" s="24">
        <f>Q69/Q74</f>
        <v>0.83269953471725122</v>
      </c>
    </row>
    <row r="16" spans="1:26" ht="19" x14ac:dyDescent="0.25">
      <c r="A16" s="5" t="s">
        <v>9</v>
      </c>
      <c r="B16" s="1" t="s">
        <v>92</v>
      </c>
      <c r="C16" s="1" t="s">
        <v>92</v>
      </c>
      <c r="D16" s="1" t="s">
        <v>92</v>
      </c>
      <c r="E16" s="1" t="s">
        <v>92</v>
      </c>
      <c r="F16" s="1" t="s">
        <v>92</v>
      </c>
      <c r="G16" s="1" t="s">
        <v>92</v>
      </c>
      <c r="H16" s="1" t="s">
        <v>92</v>
      </c>
      <c r="I16" s="1" t="s">
        <v>92</v>
      </c>
      <c r="J16" s="1" t="s">
        <v>92</v>
      </c>
      <c r="K16" s="1" t="s">
        <v>92</v>
      </c>
      <c r="L16" s="1" t="s">
        <v>92</v>
      </c>
      <c r="M16" s="1" t="s">
        <v>92</v>
      </c>
      <c r="N16" s="1" t="s">
        <v>92</v>
      </c>
      <c r="O16" s="1" t="s">
        <v>92</v>
      </c>
      <c r="P16" s="1" t="s">
        <v>92</v>
      </c>
      <c r="Q16" s="1">
        <v>176000000</v>
      </c>
    </row>
    <row r="17" spans="1:26" ht="20" customHeight="1" x14ac:dyDescent="0.25">
      <c r="A17" s="5" t="s">
        <v>10</v>
      </c>
      <c r="B17" s="1">
        <v>79997000</v>
      </c>
      <c r="C17" s="1">
        <v>77363000</v>
      </c>
      <c r="D17" s="1">
        <v>61432000</v>
      </c>
      <c r="E17" s="1">
        <v>177569000</v>
      </c>
      <c r="F17" s="1">
        <v>313083000</v>
      </c>
      <c r="G17" s="1">
        <v>424350000</v>
      </c>
      <c r="H17" s="1">
        <v>517545000</v>
      </c>
      <c r="I17" s="1">
        <v>1068360000</v>
      </c>
      <c r="J17" s="1">
        <v>1640132000</v>
      </c>
      <c r="K17" s="1">
        <v>2266597000</v>
      </c>
      <c r="L17" s="1">
        <v>3854573000</v>
      </c>
      <c r="M17" s="1">
        <v>4294861000</v>
      </c>
      <c r="N17" s="1">
        <v>3989000000</v>
      </c>
      <c r="O17" s="1">
        <v>4636000000</v>
      </c>
      <c r="P17" s="1">
        <v>7110000000</v>
      </c>
      <c r="Q17" s="1">
        <v>7197000000</v>
      </c>
      <c r="W17" s="42" t="s">
        <v>140</v>
      </c>
      <c r="X17" s="43" t="s">
        <v>157</v>
      </c>
      <c r="Y17" s="43" t="s">
        <v>158</v>
      </c>
      <c r="Z17" s="43" t="s">
        <v>159</v>
      </c>
    </row>
    <row r="18" spans="1:26" ht="19" x14ac:dyDescent="0.25">
      <c r="A18" s="5" t="s">
        <v>11</v>
      </c>
      <c r="B18" s="1">
        <v>80006000</v>
      </c>
      <c r="C18" s="1">
        <v>93246000</v>
      </c>
      <c r="D18" s="1">
        <v>163840000</v>
      </c>
      <c r="E18" s="1">
        <v>263582000</v>
      </c>
      <c r="F18" s="1">
        <v>455730000</v>
      </c>
      <c r="G18" s="1">
        <v>807539000</v>
      </c>
      <c r="H18" s="1">
        <v>2074779000</v>
      </c>
      <c r="I18" s="1">
        <v>3385045000</v>
      </c>
      <c r="J18" s="1">
        <v>4762654000</v>
      </c>
      <c r="K18" s="1">
        <v>7667472000</v>
      </c>
      <c r="L18" s="1">
        <v>13390837000</v>
      </c>
      <c r="M18" s="1">
        <v>21714108000</v>
      </c>
      <c r="N18" s="1">
        <v>24498000000</v>
      </c>
      <c r="O18" s="1">
        <v>29542000000</v>
      </c>
      <c r="P18" s="1">
        <v>47327000000</v>
      </c>
      <c r="Q18" s="1">
        <v>67806000000</v>
      </c>
      <c r="W18" s="23">
        <f>(Q37+P37+O37+N37+M37)/5</f>
        <v>6.5503438863175154E-2</v>
      </c>
      <c r="X18" s="46">
        <f>Y102/Q5</f>
        <v>6.4225086543419021</v>
      </c>
      <c r="Y18" s="46">
        <f>Y102/Q30</f>
        <v>41.668556865243708</v>
      </c>
      <c r="Z18" s="47">
        <f>Y102/Q108</f>
        <v>69.195926464753342</v>
      </c>
    </row>
    <row r="19" spans="1:26" ht="19" x14ac:dyDescent="0.25">
      <c r="A19" s="5" t="s">
        <v>12</v>
      </c>
      <c r="B19" s="1">
        <v>1749000</v>
      </c>
      <c r="C19" s="1">
        <v>3747000</v>
      </c>
      <c r="D19" s="1">
        <v>2531000</v>
      </c>
      <c r="E19" s="1">
        <v>992000</v>
      </c>
      <c r="F19" s="1">
        <v>43000</v>
      </c>
      <c r="G19" s="1">
        <v>254000</v>
      </c>
      <c r="H19" s="1">
        <v>32934000</v>
      </c>
      <c r="I19" s="1">
        <v>100886000</v>
      </c>
      <c r="J19" s="1">
        <v>118851000</v>
      </c>
      <c r="K19" s="1">
        <v>198810000</v>
      </c>
      <c r="L19" s="1">
        <v>471259000</v>
      </c>
      <c r="M19" s="1">
        <v>663071000</v>
      </c>
      <c r="N19" s="1">
        <v>685000000</v>
      </c>
      <c r="O19" s="1">
        <v>748000000</v>
      </c>
      <c r="P19" s="1">
        <v>371000000</v>
      </c>
      <c r="Q19" s="1">
        <v>191000000</v>
      </c>
    </row>
    <row r="20" spans="1:26" ht="20" x14ac:dyDescent="0.25">
      <c r="A20" s="5" t="s">
        <v>13</v>
      </c>
      <c r="B20" s="1">
        <v>2895000</v>
      </c>
      <c r="C20" s="1">
        <v>4157000</v>
      </c>
      <c r="D20" s="1">
        <v>6940000</v>
      </c>
      <c r="E20" s="1">
        <v>10623000</v>
      </c>
      <c r="F20" s="1">
        <v>16919000</v>
      </c>
      <c r="G20" s="1">
        <v>28825000</v>
      </c>
      <c r="H20" s="1">
        <v>106083000</v>
      </c>
      <c r="I20" s="1">
        <v>231931000</v>
      </c>
      <c r="J20" s="1">
        <v>422590000</v>
      </c>
      <c r="K20" s="1">
        <v>947099000</v>
      </c>
      <c r="L20" s="1">
        <v>1636003000</v>
      </c>
      <c r="M20" s="1">
        <v>1901050000</v>
      </c>
      <c r="N20" s="1">
        <v>2154000000</v>
      </c>
      <c r="O20" s="1">
        <v>2322000000</v>
      </c>
      <c r="P20" s="1">
        <v>2911000000</v>
      </c>
      <c r="Q20" s="1">
        <v>3747000000</v>
      </c>
      <c r="W20" s="42" t="s">
        <v>160</v>
      </c>
    </row>
    <row r="21" spans="1:26" ht="20" customHeight="1" x14ac:dyDescent="0.25">
      <c r="A21" s="6" t="s">
        <v>14</v>
      </c>
      <c r="B21" s="10">
        <v>-73403000</v>
      </c>
      <c r="C21" s="10">
        <v>-74781000</v>
      </c>
      <c r="D21" s="10">
        <v>-46243000</v>
      </c>
      <c r="E21" s="10">
        <v>-142540000</v>
      </c>
      <c r="F21" s="10">
        <v>-236960000</v>
      </c>
      <c r="G21" s="10">
        <v>-366998000</v>
      </c>
      <c r="H21" s="10">
        <v>67591000</v>
      </c>
      <c r="I21" s="10">
        <v>48181000</v>
      </c>
      <c r="J21" s="10">
        <v>-334183000</v>
      </c>
      <c r="K21" s="10">
        <v>497693000</v>
      </c>
      <c r="L21" s="10">
        <v>177408000</v>
      </c>
      <c r="M21" s="10">
        <v>1645867000</v>
      </c>
      <c r="N21" s="10">
        <v>2087000000</v>
      </c>
      <c r="O21" s="10">
        <v>4052000000</v>
      </c>
      <c r="P21" s="10">
        <v>9500000000</v>
      </c>
      <c r="Q21" s="10">
        <v>17626000000</v>
      </c>
      <c r="W21" s="48">
        <f>Q42-Q58-Q63</f>
        <v>19086000000</v>
      </c>
    </row>
    <row r="22" spans="1:26" ht="19" x14ac:dyDescent="0.25">
      <c r="A22" s="19" t="s">
        <v>95</v>
      </c>
      <c r="B22" s="1"/>
      <c r="C22" s="15">
        <f>(C21/B21)-1</f>
        <v>1.8773074669972578E-2</v>
      </c>
      <c r="D22" s="15">
        <f>(D21/C21)-1</f>
        <v>-0.38162099998662757</v>
      </c>
      <c r="E22" s="15">
        <f>(E21/D21)-1</f>
        <v>2.0824124732391929</v>
      </c>
      <c r="F22" s="15">
        <f t="shared" ref="F22" si="33">(F21/E21)-1</f>
        <v>0.66241055142416161</v>
      </c>
      <c r="G22" s="15">
        <f t="shared" ref="G22" si="34">(G21/F21)-1</f>
        <v>0.54877616475354496</v>
      </c>
      <c r="H22" s="15">
        <f t="shared" ref="H22" si="35">(H21/G21)-1</f>
        <v>-1.1841726657910943</v>
      </c>
      <c r="I22" s="15">
        <f t="shared" ref="I22" si="36">(I21/H21)-1</f>
        <v>-0.2871684099954136</v>
      </c>
      <c r="J22" s="15">
        <f t="shared" ref="J22" si="37">(J21/I21)-1</f>
        <v>-7.9359913658911188</v>
      </c>
      <c r="K22" s="15">
        <f t="shared" ref="K22" si="38">(K21/J21)-1</f>
        <v>-2.4892828180966715</v>
      </c>
      <c r="L22" s="15">
        <f t="shared" ref="L22" si="39">(L21/K21)-1</f>
        <v>-0.64353929028537671</v>
      </c>
      <c r="M22" s="15">
        <f t="shared" ref="M22" si="40">(M21/L21)-1</f>
        <v>8.2772986562049056</v>
      </c>
      <c r="N22" s="15">
        <f t="shared" ref="N22" si="41">(N21/M21)-1</f>
        <v>0.26802469458346279</v>
      </c>
      <c r="O22" s="15">
        <f t="shared" ref="O22" si="42">(O21/N21)-1</f>
        <v>0.9415428845232392</v>
      </c>
      <c r="P22" s="15">
        <f t="shared" ref="P22" si="43">(P21/O21)-1</f>
        <v>1.3445212240868707</v>
      </c>
      <c r="Q22" s="15">
        <f t="shared" ref="Q22" si="44">(Q21/P21)-1</f>
        <v>0.85536842105263156</v>
      </c>
    </row>
    <row r="23" spans="1:26" ht="19" x14ac:dyDescent="0.25">
      <c r="A23" s="5" t="s">
        <v>15</v>
      </c>
      <c r="B23" s="2">
        <v>-1005.5205</v>
      </c>
      <c r="C23" s="2">
        <v>-5.0726000000000004</v>
      </c>
      <c r="D23" s="2">
        <v>-0.41310000000000002</v>
      </c>
      <c r="E23" s="2">
        <v>-1.2210000000000001</v>
      </c>
      <c r="F23" s="2">
        <v>-1.1601999999999999</v>
      </c>
      <c r="G23" s="2">
        <v>-0.8881</v>
      </c>
      <c r="H23" s="2">
        <v>3.3599999999999998E-2</v>
      </c>
      <c r="I23" s="2">
        <v>1.5100000000000001E-2</v>
      </c>
      <c r="J23" s="2">
        <v>-8.2600000000000007E-2</v>
      </c>
      <c r="K23" s="2">
        <v>7.1099999999999997E-2</v>
      </c>
      <c r="L23" s="2">
        <v>1.5100000000000001E-2</v>
      </c>
      <c r="M23" s="2">
        <v>7.6700000000000004E-2</v>
      </c>
      <c r="N23" s="2">
        <v>8.4900000000000003E-2</v>
      </c>
      <c r="O23" s="2">
        <v>0.1285</v>
      </c>
      <c r="P23" s="2">
        <v>0.17649999999999999</v>
      </c>
      <c r="Q23" s="2">
        <v>0.21640000000000001</v>
      </c>
    </row>
    <row r="24" spans="1:26" ht="19" x14ac:dyDescent="0.25">
      <c r="A24" s="6" t="s">
        <v>16</v>
      </c>
      <c r="B24" s="10">
        <v>-79933000</v>
      </c>
      <c r="C24" s="10">
        <v>-78504000</v>
      </c>
      <c r="D24" s="10">
        <v>-51897000</v>
      </c>
      <c r="E24" s="10">
        <v>-146838000</v>
      </c>
      <c r="F24" s="10">
        <v>-251488000</v>
      </c>
      <c r="G24" s="10">
        <v>-394283000</v>
      </c>
      <c r="H24" s="10">
        <v>-61283000</v>
      </c>
      <c r="I24" s="10">
        <v>-186689000</v>
      </c>
      <c r="J24" s="10">
        <v>-716629000</v>
      </c>
      <c r="K24" s="10">
        <v>-667340000</v>
      </c>
      <c r="L24" s="10">
        <v>-1632086000</v>
      </c>
      <c r="M24" s="10">
        <v>-252840000</v>
      </c>
      <c r="N24" s="10">
        <v>80000000</v>
      </c>
      <c r="O24" s="10">
        <v>1994000000</v>
      </c>
      <c r="P24" s="10">
        <v>6496000000</v>
      </c>
      <c r="Q24" s="10">
        <v>13656000000</v>
      </c>
    </row>
    <row r="25" spans="1:26" ht="19" x14ac:dyDescent="0.25">
      <c r="A25" s="5" t="s">
        <v>17</v>
      </c>
      <c r="B25" s="2">
        <v>-1094.9726000000001</v>
      </c>
      <c r="C25" s="2">
        <v>-5.3251999999999997</v>
      </c>
      <c r="D25" s="2">
        <v>-0.46360000000000001</v>
      </c>
      <c r="E25" s="2">
        <v>-1.2578</v>
      </c>
      <c r="F25" s="2">
        <v>-1.2313000000000001</v>
      </c>
      <c r="G25" s="2">
        <v>-0.95409999999999995</v>
      </c>
      <c r="H25" s="2">
        <v>-3.04E-2</v>
      </c>
      <c r="I25" s="2">
        <v>-5.8400000000000001E-2</v>
      </c>
      <c r="J25" s="2">
        <v>-0.17710000000000001</v>
      </c>
      <c r="K25" s="2">
        <v>-9.5299999999999996E-2</v>
      </c>
      <c r="L25" s="2">
        <v>-0.13880000000000001</v>
      </c>
      <c r="M25" s="2">
        <v>-1.18E-2</v>
      </c>
      <c r="N25" s="2">
        <v>3.3E-3</v>
      </c>
      <c r="O25" s="2">
        <v>6.3200000000000006E-2</v>
      </c>
      <c r="P25" s="2">
        <v>0.1207</v>
      </c>
      <c r="Q25" s="2">
        <v>0.1676</v>
      </c>
    </row>
    <row r="26" spans="1:26" ht="19" x14ac:dyDescent="0.25">
      <c r="A26" s="5" t="s">
        <v>18</v>
      </c>
      <c r="B26" s="1">
        <v>1886000</v>
      </c>
      <c r="C26" s="1">
        <v>-4181000</v>
      </c>
      <c r="D26" s="1">
        <v>-3817000</v>
      </c>
      <c r="E26" s="1">
        <v>-7317000</v>
      </c>
      <c r="F26" s="1">
        <v>-2434000</v>
      </c>
      <c r="G26" s="1">
        <v>-1794000</v>
      </c>
      <c r="H26" s="1">
        <v>-10143000</v>
      </c>
      <c r="I26" s="1">
        <v>-97947000</v>
      </c>
      <c r="J26" s="1">
        <v>-158995000</v>
      </c>
      <c r="K26" s="1">
        <v>-79008000</v>
      </c>
      <c r="L26" s="1">
        <v>-576946000</v>
      </c>
      <c r="M26" s="1">
        <v>-751905000</v>
      </c>
      <c r="N26" s="1">
        <v>-745000000</v>
      </c>
      <c r="O26" s="1">
        <v>-840000000</v>
      </c>
      <c r="P26" s="1">
        <v>-153000000</v>
      </c>
      <c r="Q26" s="1">
        <v>63000000</v>
      </c>
    </row>
    <row r="27" spans="1:26" ht="19" x14ac:dyDescent="0.25">
      <c r="A27" s="6" t="s">
        <v>19</v>
      </c>
      <c r="B27" s="10">
        <v>-78047000</v>
      </c>
      <c r="C27" s="10">
        <v>-82685000</v>
      </c>
      <c r="D27" s="10">
        <v>-55714000</v>
      </c>
      <c r="E27" s="10">
        <v>-154155000</v>
      </c>
      <c r="F27" s="10">
        <v>-253922000</v>
      </c>
      <c r="G27" s="10">
        <v>-396077000</v>
      </c>
      <c r="H27" s="10">
        <v>-71426000</v>
      </c>
      <c r="I27" s="10">
        <v>-284636000</v>
      </c>
      <c r="J27" s="10">
        <v>-875624000</v>
      </c>
      <c r="K27" s="10">
        <v>-746348000</v>
      </c>
      <c r="L27" s="10">
        <v>-2209032000</v>
      </c>
      <c r="M27" s="10">
        <v>-1004745000</v>
      </c>
      <c r="N27" s="10">
        <v>-665000000</v>
      </c>
      <c r="O27" s="10">
        <v>1154000000</v>
      </c>
      <c r="P27" s="10">
        <v>6343000000</v>
      </c>
      <c r="Q27" s="10">
        <v>13719000000</v>
      </c>
    </row>
    <row r="28" spans="1:26" ht="19" x14ac:dyDescent="0.25">
      <c r="A28" s="5" t="s">
        <v>20</v>
      </c>
      <c r="B28" s="2">
        <v>-1069.1369999999999</v>
      </c>
      <c r="C28" s="2">
        <v>-5.6087999999999996</v>
      </c>
      <c r="D28" s="2">
        <v>-0.49769999999999998</v>
      </c>
      <c r="E28" s="2">
        <v>-1.3205</v>
      </c>
      <c r="F28" s="2">
        <v>-1.2432000000000001</v>
      </c>
      <c r="G28" s="2">
        <v>-0.95840000000000003</v>
      </c>
      <c r="H28" s="2">
        <v>-3.5499999999999997E-2</v>
      </c>
      <c r="I28" s="2">
        <v>-8.8999999999999996E-2</v>
      </c>
      <c r="J28" s="2">
        <v>-0.21640000000000001</v>
      </c>
      <c r="K28" s="2">
        <v>-0.1066</v>
      </c>
      <c r="L28" s="2">
        <v>-0.18790000000000001</v>
      </c>
      <c r="M28" s="2">
        <v>-4.6800000000000001E-2</v>
      </c>
      <c r="N28" s="2">
        <v>-2.7099999999999999E-2</v>
      </c>
      <c r="O28" s="2">
        <v>3.6600000000000001E-2</v>
      </c>
      <c r="P28" s="2">
        <v>0.1178</v>
      </c>
      <c r="Q28" s="2">
        <v>0.16839999999999999</v>
      </c>
    </row>
    <row r="29" spans="1:26" ht="19" x14ac:dyDescent="0.25">
      <c r="A29" s="5" t="s">
        <v>21</v>
      </c>
      <c r="B29" s="1">
        <v>110000</v>
      </c>
      <c r="C29" s="1">
        <v>97000</v>
      </c>
      <c r="D29" s="1">
        <v>26000</v>
      </c>
      <c r="E29" s="1">
        <v>173000</v>
      </c>
      <c r="F29" s="1">
        <v>489000</v>
      </c>
      <c r="G29" s="1">
        <v>136000</v>
      </c>
      <c r="H29" s="1">
        <v>2588000</v>
      </c>
      <c r="I29" s="1">
        <v>9404000</v>
      </c>
      <c r="J29" s="1">
        <v>13039000</v>
      </c>
      <c r="K29" s="1">
        <v>26698000</v>
      </c>
      <c r="L29" s="1">
        <v>31546000</v>
      </c>
      <c r="M29" s="1">
        <v>57837000</v>
      </c>
      <c r="N29" s="1">
        <v>110000000</v>
      </c>
      <c r="O29" s="1">
        <v>292000000</v>
      </c>
      <c r="P29" s="1">
        <v>699000000</v>
      </c>
      <c r="Q29" s="1">
        <v>1132000000</v>
      </c>
    </row>
    <row r="30" spans="1:26" ht="22" customHeight="1" thickBot="1" x14ac:dyDescent="0.3">
      <c r="A30" s="7" t="s">
        <v>22</v>
      </c>
      <c r="B30" s="11">
        <v>-78157000</v>
      </c>
      <c r="C30" s="11">
        <v>-82782000</v>
      </c>
      <c r="D30" s="11">
        <v>-55740000</v>
      </c>
      <c r="E30" s="11">
        <v>-154328000</v>
      </c>
      <c r="F30" s="11">
        <v>-254411000</v>
      </c>
      <c r="G30" s="11">
        <v>-396213000</v>
      </c>
      <c r="H30" s="11">
        <v>-74014000</v>
      </c>
      <c r="I30" s="11">
        <v>-294040000</v>
      </c>
      <c r="J30" s="11">
        <v>-888663000</v>
      </c>
      <c r="K30" s="11">
        <v>-674914000</v>
      </c>
      <c r="L30" s="11">
        <v>-1961400000</v>
      </c>
      <c r="M30" s="11">
        <v>-976091000</v>
      </c>
      <c r="N30" s="11">
        <v>-862000000</v>
      </c>
      <c r="O30" s="11">
        <v>690000000</v>
      </c>
      <c r="P30" s="11">
        <v>5519000000</v>
      </c>
      <c r="Q30" s="11">
        <v>12556000000</v>
      </c>
    </row>
    <row r="31" spans="1:26" ht="20" customHeight="1" thickTop="1" x14ac:dyDescent="0.25">
      <c r="A31" s="19" t="s">
        <v>96</v>
      </c>
      <c r="B31" s="1"/>
      <c r="C31" s="15">
        <f>(C30/B30)-1</f>
        <v>5.9175761608045274E-2</v>
      </c>
      <c r="D31" s="15">
        <f>(D30/C30)-1</f>
        <v>-0.32666521707617602</v>
      </c>
      <c r="E31" s="15">
        <f>(E30/D30)-1</f>
        <v>1.7687118765697885</v>
      </c>
      <c r="F31" s="15">
        <f t="shared" ref="F31" si="45">(F30/E30)-1</f>
        <v>0.64850837177958631</v>
      </c>
      <c r="G31" s="15">
        <f t="shared" ref="G31" si="46">(G30/F30)-1</f>
        <v>0.55737369846429585</v>
      </c>
      <c r="H31" s="15">
        <f t="shared" ref="H31" si="47">(H30/G30)-1</f>
        <v>-0.81319643726985236</v>
      </c>
      <c r="I31" s="15">
        <f t="shared" ref="I31" si="48">(I30/H30)-1</f>
        <v>2.972761909908936</v>
      </c>
      <c r="J31" s="15">
        <f t="shared" ref="J31" si="49">(J30/I30)-1</f>
        <v>2.0222520745476804</v>
      </c>
      <c r="K31" s="15">
        <f t="shared" ref="K31" si="50">(K30/J30)-1</f>
        <v>-0.24052874936843327</v>
      </c>
      <c r="L31" s="15">
        <f t="shared" ref="L31" si="51">(L30/K30)-1</f>
        <v>1.9061480425654231</v>
      </c>
      <c r="M31" s="15">
        <f t="shared" ref="M31" si="52">(M30/L30)-1</f>
        <v>-0.50234985214642602</v>
      </c>
      <c r="N31" s="15">
        <f t="shared" ref="N31" si="53">(N30/M30)-1</f>
        <v>-0.11688561824665933</v>
      </c>
      <c r="O31" s="15">
        <f t="shared" ref="O31" si="54">(O30/N30)-1</f>
        <v>-1.8004640371229699</v>
      </c>
      <c r="P31" s="15">
        <f t="shared" ref="P31" si="55">(P30/O30)-1</f>
        <v>6.9985507246376812</v>
      </c>
      <c r="Q31" s="15">
        <f t="shared" ref="Q31" si="56">(Q30/P30)-1</f>
        <v>1.2750498278673672</v>
      </c>
    </row>
    <row r="32" spans="1:26" ht="19" x14ac:dyDescent="0.25">
      <c r="A32" s="5" t="s">
        <v>23</v>
      </c>
      <c r="B32" s="2">
        <v>-1070.6438000000001</v>
      </c>
      <c r="C32" s="2">
        <v>-5.6154000000000002</v>
      </c>
      <c r="D32" s="2">
        <v>-0.49790000000000001</v>
      </c>
      <c r="E32" s="2">
        <v>-1.3219000000000001</v>
      </c>
      <c r="F32" s="2">
        <v>-1.2456</v>
      </c>
      <c r="G32" s="2">
        <v>-0.95879999999999999</v>
      </c>
      <c r="H32" s="2">
        <v>-3.6799999999999999E-2</v>
      </c>
      <c r="I32" s="2">
        <v>-9.1899999999999996E-2</v>
      </c>
      <c r="J32" s="2">
        <v>-0.21959999999999999</v>
      </c>
      <c r="K32" s="2">
        <v>-9.64E-2</v>
      </c>
      <c r="L32" s="2">
        <v>-0.1668</v>
      </c>
      <c r="M32" s="2">
        <v>-4.5499999999999999E-2</v>
      </c>
      <c r="N32" s="2">
        <v>-3.5099999999999999E-2</v>
      </c>
      <c r="O32" s="2">
        <v>2.1899999999999999E-2</v>
      </c>
      <c r="P32" s="2">
        <v>0.10249999999999999</v>
      </c>
      <c r="Q32" s="2">
        <v>0.15409999999999999</v>
      </c>
    </row>
    <row r="33" spans="1:17" ht="19" x14ac:dyDescent="0.25">
      <c r="A33" s="5" t="s">
        <v>24</v>
      </c>
      <c r="B33" s="12">
        <v>-0.04</v>
      </c>
      <c r="C33" s="12">
        <v>-0.04</v>
      </c>
      <c r="D33" s="12">
        <v>-0.05</v>
      </c>
      <c r="E33" s="12">
        <v>-0.2</v>
      </c>
      <c r="F33" s="12">
        <v>-0.17</v>
      </c>
      <c r="G33" s="12">
        <v>-0.25</v>
      </c>
      <c r="H33" s="12">
        <v>-0.04</v>
      </c>
      <c r="I33" s="12">
        <v>-0.16</v>
      </c>
      <c r="J33" s="12">
        <v>-0.46</v>
      </c>
      <c r="K33" s="12">
        <v>-0.31</v>
      </c>
      <c r="L33" s="12">
        <v>-0.79</v>
      </c>
      <c r="M33" s="12">
        <v>-0.38</v>
      </c>
      <c r="N33" s="12">
        <v>-0.33</v>
      </c>
      <c r="O33" s="12">
        <v>0.25</v>
      </c>
      <c r="P33" s="12">
        <v>1.87</v>
      </c>
      <c r="Q33" s="12">
        <v>4.24</v>
      </c>
    </row>
    <row r="34" spans="1:17" ht="19" x14ac:dyDescent="0.25">
      <c r="A34" s="5" t="s">
        <v>25</v>
      </c>
      <c r="B34" s="12">
        <v>-0.04</v>
      </c>
      <c r="C34" s="12">
        <v>-0.04</v>
      </c>
      <c r="D34" s="12">
        <v>-0.05</v>
      </c>
      <c r="E34" s="12">
        <v>-0.2</v>
      </c>
      <c r="F34" s="12">
        <v>-0.17</v>
      </c>
      <c r="G34" s="12">
        <v>-0.25</v>
      </c>
      <c r="H34" s="12">
        <v>-0.04</v>
      </c>
      <c r="I34" s="12">
        <v>-0.16</v>
      </c>
      <c r="J34" s="12">
        <v>-0.46</v>
      </c>
      <c r="K34" s="12">
        <v>-0.31</v>
      </c>
      <c r="L34" s="12">
        <v>-0.79</v>
      </c>
      <c r="M34" s="12">
        <v>-0.38</v>
      </c>
      <c r="N34" s="12">
        <v>-0.33</v>
      </c>
      <c r="O34" s="12">
        <v>0.21</v>
      </c>
      <c r="P34" s="12">
        <v>1.63</v>
      </c>
      <c r="Q34" s="12">
        <v>3.71</v>
      </c>
    </row>
    <row r="35" spans="1:17" ht="25" customHeight="1" x14ac:dyDescent="0.25">
      <c r="A35" s="5" t="s">
        <v>26</v>
      </c>
      <c r="B35" s="1">
        <v>2044950000</v>
      </c>
      <c r="C35" s="1">
        <v>2044950000</v>
      </c>
      <c r="D35" s="1">
        <v>1165407810</v>
      </c>
      <c r="E35" s="1">
        <v>760774530</v>
      </c>
      <c r="F35" s="1">
        <v>1505832225</v>
      </c>
      <c r="G35" s="1">
        <v>1610235000</v>
      </c>
      <c r="H35" s="1">
        <v>1791315000</v>
      </c>
      <c r="I35" s="1">
        <v>1868595000</v>
      </c>
      <c r="J35" s="1">
        <v>1923030000</v>
      </c>
      <c r="K35" s="1">
        <v>2163180000</v>
      </c>
      <c r="L35" s="1">
        <v>2486370000</v>
      </c>
      <c r="M35" s="1">
        <v>2557875000</v>
      </c>
      <c r="N35" s="1">
        <v>2655000000</v>
      </c>
      <c r="O35" s="1">
        <v>2880000000</v>
      </c>
      <c r="P35" s="1">
        <v>2958000000</v>
      </c>
      <c r="Q35" s="1">
        <v>2958000000</v>
      </c>
    </row>
    <row r="36" spans="1:17" ht="19" x14ac:dyDescent="0.25">
      <c r="A36" s="5" t="s">
        <v>27</v>
      </c>
      <c r="B36" s="1">
        <v>2044950000</v>
      </c>
      <c r="C36" s="1">
        <v>2044950000</v>
      </c>
      <c r="D36" s="1">
        <v>1165407810</v>
      </c>
      <c r="E36" s="1">
        <v>760774530</v>
      </c>
      <c r="F36" s="1">
        <v>1505832225</v>
      </c>
      <c r="G36" s="1">
        <v>1610235000</v>
      </c>
      <c r="H36" s="1">
        <v>1791315000</v>
      </c>
      <c r="I36" s="1">
        <v>1868595000</v>
      </c>
      <c r="J36" s="1">
        <v>1923030000</v>
      </c>
      <c r="K36" s="1">
        <v>2163180000</v>
      </c>
      <c r="L36" s="1">
        <v>2486370000</v>
      </c>
      <c r="M36" s="1">
        <v>2557875000</v>
      </c>
      <c r="N36" s="1">
        <v>2655000000</v>
      </c>
      <c r="O36" s="1">
        <v>2880000000</v>
      </c>
      <c r="P36" s="1">
        <v>3387000000</v>
      </c>
      <c r="Q36" s="1">
        <v>3387000000</v>
      </c>
    </row>
    <row r="37" spans="1:17" ht="19" x14ac:dyDescent="0.25">
      <c r="A37" s="19" t="s">
        <v>139</v>
      </c>
      <c r="B37" s="1"/>
      <c r="C37" s="25">
        <f>(C36-B36)/B36</f>
        <v>0</v>
      </c>
      <c r="D37" s="25">
        <f t="shared" ref="D37:G37" si="57">(D36-C36)/C36</f>
        <v>-0.4301044964424558</v>
      </c>
      <c r="E37" s="25">
        <f t="shared" si="57"/>
        <v>-0.34720316487324726</v>
      </c>
      <c r="F37" s="25">
        <f t="shared" si="57"/>
        <v>0.97934100790677103</v>
      </c>
      <c r="G37" s="25">
        <f t="shared" si="57"/>
        <v>6.9332275712189653E-2</v>
      </c>
      <c r="H37" s="25">
        <f t="shared" ref="H37" si="58">(H36-G36)/G36</f>
        <v>0.11245563535757203</v>
      </c>
      <c r="I37" s="25">
        <f t="shared" ref="I37" si="59">(I36-H36)/H36</f>
        <v>4.3141491027541216E-2</v>
      </c>
      <c r="J37" s="25">
        <f t="shared" ref="J37" si="60">(J36-I36)/I36</f>
        <v>2.9131513249259472E-2</v>
      </c>
      <c r="K37" s="25">
        <f t="shared" ref="K37" si="61">(K36-J36)/J36</f>
        <v>0.12488104709754919</v>
      </c>
      <c r="L37" s="25">
        <f t="shared" ref="L37" si="62">(L36-K36)/K36</f>
        <v>0.14940504257620726</v>
      </c>
      <c r="M37" s="25">
        <f t="shared" ref="M37" si="63">(M36-L36)/L36</f>
        <v>2.8758792939103994E-2</v>
      </c>
      <c r="N37" s="25">
        <f t="shared" ref="N37" si="64">(N36-M36)/M36</f>
        <v>3.7970971998240725E-2</v>
      </c>
      <c r="O37" s="25">
        <f t="shared" ref="O37" si="65">(O36-N36)/N36</f>
        <v>8.4745762711864403E-2</v>
      </c>
      <c r="P37" s="25">
        <f t="shared" ref="P37" si="66">(P36-O36)/O36</f>
        <v>0.17604166666666668</v>
      </c>
      <c r="Q37" s="25">
        <f t="shared" ref="Q37" si="67">(Q36-P36)/P36</f>
        <v>0</v>
      </c>
    </row>
    <row r="38" spans="1:17" ht="22" customHeight="1" x14ac:dyDescent="0.25">
      <c r="A38" s="5" t="s">
        <v>28</v>
      </c>
      <c r="B38" s="13" t="s">
        <v>93</v>
      </c>
      <c r="C38" s="13" t="s">
        <v>93</v>
      </c>
      <c r="D38" s="13" t="s">
        <v>93</v>
      </c>
      <c r="E38" s="13" t="s">
        <v>93</v>
      </c>
      <c r="F38" s="13" t="s">
        <v>93</v>
      </c>
      <c r="G38" s="13" t="s">
        <v>93</v>
      </c>
      <c r="H38" s="13" t="s">
        <v>93</v>
      </c>
      <c r="I38" s="13" t="s">
        <v>93</v>
      </c>
      <c r="J38" s="13" t="s">
        <v>93</v>
      </c>
      <c r="K38" s="13" t="s">
        <v>93</v>
      </c>
      <c r="L38" s="13" t="s">
        <v>93</v>
      </c>
      <c r="M38" s="13" t="s">
        <v>93</v>
      </c>
      <c r="N38" s="13" t="s">
        <v>93</v>
      </c>
      <c r="O38" s="13" t="s">
        <v>93</v>
      </c>
      <c r="P38" s="13" t="s">
        <v>93</v>
      </c>
      <c r="Q38" s="13" t="s">
        <v>93</v>
      </c>
    </row>
    <row r="39" spans="1:17" ht="21" x14ac:dyDescent="0.25">
      <c r="A39" s="4" t="s">
        <v>29</v>
      </c>
      <c r="B39" s="9" t="s">
        <v>91</v>
      </c>
      <c r="C39" s="9" t="s">
        <v>91</v>
      </c>
      <c r="D39" s="9" t="s">
        <v>91</v>
      </c>
      <c r="E39" s="9" t="s">
        <v>91</v>
      </c>
      <c r="F39" s="9" t="s">
        <v>91</v>
      </c>
      <c r="G39" s="9" t="s">
        <v>91</v>
      </c>
      <c r="H39" s="9" t="s">
        <v>91</v>
      </c>
      <c r="I39" s="9" t="s">
        <v>91</v>
      </c>
      <c r="J39" s="9" t="s">
        <v>91</v>
      </c>
      <c r="K39" s="9" t="s">
        <v>91</v>
      </c>
      <c r="L39" s="9" t="s">
        <v>91</v>
      </c>
      <c r="M39" s="9" t="s">
        <v>91</v>
      </c>
      <c r="N39" s="9" t="s">
        <v>91</v>
      </c>
      <c r="O39" s="9" t="s">
        <v>91</v>
      </c>
      <c r="P39" s="9" t="s">
        <v>91</v>
      </c>
      <c r="Q39" s="9" t="s">
        <v>91</v>
      </c>
    </row>
    <row r="40" spans="1:17" ht="19" customHeight="1" x14ac:dyDescent="0.25">
      <c r="A40" s="5" t="s">
        <v>30</v>
      </c>
      <c r="B40" s="1">
        <v>17211000</v>
      </c>
      <c r="C40" s="1">
        <v>9277000</v>
      </c>
      <c r="D40" s="1">
        <v>69627000</v>
      </c>
      <c r="E40" s="1">
        <v>99558000</v>
      </c>
      <c r="F40" s="1">
        <v>255266000</v>
      </c>
      <c r="G40" s="1">
        <v>201890000</v>
      </c>
      <c r="H40" s="1">
        <v>845889000</v>
      </c>
      <c r="I40" s="1">
        <v>1905713000</v>
      </c>
      <c r="J40" s="1">
        <v>1196908000</v>
      </c>
      <c r="K40" s="1">
        <v>3393216000</v>
      </c>
      <c r="L40" s="1">
        <v>3367914000</v>
      </c>
      <c r="M40" s="1">
        <v>3685618000</v>
      </c>
      <c r="N40" s="1">
        <v>6268000000</v>
      </c>
      <c r="O40" s="1">
        <v>19384000000</v>
      </c>
      <c r="P40" s="1">
        <v>17576000000</v>
      </c>
      <c r="Q40" s="1">
        <v>16253000000</v>
      </c>
    </row>
    <row r="41" spans="1:17" ht="20" customHeight="1" x14ac:dyDescent="0.25">
      <c r="A41" s="5" t="s">
        <v>31</v>
      </c>
      <c r="B41" s="1" t="s">
        <v>92</v>
      </c>
      <c r="C41" s="1" t="s">
        <v>92</v>
      </c>
      <c r="D41" s="1" t="s">
        <v>92</v>
      </c>
      <c r="E41" s="1" t="s">
        <v>92</v>
      </c>
      <c r="F41" s="1">
        <v>25061000</v>
      </c>
      <c r="G41" s="1" t="s">
        <v>92</v>
      </c>
      <c r="H41" s="1" t="s">
        <v>92</v>
      </c>
      <c r="I41" s="1" t="s">
        <v>92</v>
      </c>
      <c r="J41" s="1" t="s">
        <v>92</v>
      </c>
      <c r="K41" s="1" t="s">
        <v>92</v>
      </c>
      <c r="L41" s="1" t="s">
        <v>92</v>
      </c>
      <c r="M41" s="1" t="s">
        <v>92</v>
      </c>
      <c r="N41" s="1" t="s">
        <v>92</v>
      </c>
      <c r="O41" s="1" t="s">
        <v>92</v>
      </c>
      <c r="P41" s="1">
        <v>131000000</v>
      </c>
      <c r="Q41" s="1">
        <v>5932000000</v>
      </c>
    </row>
    <row r="42" spans="1:17" ht="20" customHeight="1" x14ac:dyDescent="0.25">
      <c r="A42" s="5" t="s">
        <v>32</v>
      </c>
      <c r="B42" s="1">
        <v>17211000</v>
      </c>
      <c r="C42" s="1">
        <v>9277000</v>
      </c>
      <c r="D42" s="1">
        <v>69627000</v>
      </c>
      <c r="E42" s="1">
        <v>99558000</v>
      </c>
      <c r="F42" s="1">
        <v>280327000</v>
      </c>
      <c r="G42" s="1">
        <v>201890000</v>
      </c>
      <c r="H42" s="1">
        <v>845889000</v>
      </c>
      <c r="I42" s="1">
        <v>1905713000</v>
      </c>
      <c r="J42" s="1">
        <v>1196908000</v>
      </c>
      <c r="K42" s="1">
        <v>3393216000</v>
      </c>
      <c r="L42" s="1">
        <v>3367914000</v>
      </c>
      <c r="M42" s="1">
        <v>3685618000</v>
      </c>
      <c r="N42" s="1">
        <v>6268000000</v>
      </c>
      <c r="O42" s="1">
        <v>19384000000</v>
      </c>
      <c r="P42" s="1">
        <v>17707000000</v>
      </c>
      <c r="Q42" s="1">
        <v>22185000000</v>
      </c>
    </row>
    <row r="43" spans="1:17" ht="19" x14ac:dyDescent="0.25">
      <c r="A43" s="5" t="s">
        <v>33</v>
      </c>
      <c r="B43" s="1">
        <v>59000</v>
      </c>
      <c r="C43" s="1">
        <v>3320000</v>
      </c>
      <c r="D43" s="1">
        <v>3488000</v>
      </c>
      <c r="E43" s="1">
        <v>6710000</v>
      </c>
      <c r="F43" s="1">
        <v>9539000</v>
      </c>
      <c r="G43" s="1">
        <v>26842000</v>
      </c>
      <c r="H43" s="1">
        <v>49109000</v>
      </c>
      <c r="I43" s="1">
        <v>226604000</v>
      </c>
      <c r="J43" s="1">
        <v>168965000</v>
      </c>
      <c r="K43" s="1">
        <v>499142000</v>
      </c>
      <c r="L43" s="1">
        <v>515381000</v>
      </c>
      <c r="M43" s="1">
        <v>949022000</v>
      </c>
      <c r="N43" s="1">
        <v>1324000000</v>
      </c>
      <c r="O43" s="1">
        <v>1886000000</v>
      </c>
      <c r="P43" s="1">
        <v>1913000000</v>
      </c>
      <c r="Q43" s="1">
        <v>2952000000</v>
      </c>
    </row>
    <row r="44" spans="1:17" ht="19" x14ac:dyDescent="0.25">
      <c r="A44" s="5" t="s">
        <v>34</v>
      </c>
      <c r="B44" s="1">
        <v>2108000</v>
      </c>
      <c r="C44" s="1">
        <v>16650000</v>
      </c>
      <c r="D44" s="1">
        <v>23222000</v>
      </c>
      <c r="E44" s="1">
        <v>45182000</v>
      </c>
      <c r="F44" s="1">
        <v>50082000</v>
      </c>
      <c r="G44" s="1">
        <v>268504000</v>
      </c>
      <c r="H44" s="1">
        <v>340355000</v>
      </c>
      <c r="I44" s="1">
        <v>953675000</v>
      </c>
      <c r="J44" s="1">
        <v>1277838000</v>
      </c>
      <c r="K44" s="1">
        <v>2067454000</v>
      </c>
      <c r="L44" s="1">
        <v>2263537000</v>
      </c>
      <c r="M44" s="1">
        <v>3113446000</v>
      </c>
      <c r="N44" s="1">
        <v>3552000000</v>
      </c>
      <c r="O44" s="1">
        <v>4101000000</v>
      </c>
      <c r="P44" s="1">
        <v>5757000000</v>
      </c>
      <c r="Q44" s="1">
        <v>12839000000</v>
      </c>
    </row>
    <row r="45" spans="1:17" ht="19" x14ac:dyDescent="0.25">
      <c r="A45" s="5" t="s">
        <v>35</v>
      </c>
      <c r="B45" s="1">
        <v>2930000</v>
      </c>
      <c r="C45" s="1">
        <v>2180000</v>
      </c>
      <c r="D45" s="1">
        <v>4222000</v>
      </c>
      <c r="E45" s="1">
        <v>84436000</v>
      </c>
      <c r="F45" s="1">
        <v>32890000</v>
      </c>
      <c r="G45" s="1">
        <v>27532000</v>
      </c>
      <c r="H45" s="1">
        <v>30586000</v>
      </c>
      <c r="I45" s="1">
        <v>112665000</v>
      </c>
      <c r="J45" s="1">
        <v>147857000</v>
      </c>
      <c r="K45" s="1">
        <v>299984000</v>
      </c>
      <c r="L45" s="1">
        <v>423688000</v>
      </c>
      <c r="M45" s="1">
        <v>558222000</v>
      </c>
      <c r="N45" s="1">
        <v>959000000</v>
      </c>
      <c r="O45" s="1">
        <v>1346000000</v>
      </c>
      <c r="P45" s="1">
        <v>1723000000</v>
      </c>
      <c r="Q45" s="1">
        <v>2941000000</v>
      </c>
    </row>
    <row r="46" spans="1:17" ht="19" x14ac:dyDescent="0.25">
      <c r="A46" s="6" t="s">
        <v>36</v>
      </c>
      <c r="B46" s="10">
        <v>22308000</v>
      </c>
      <c r="C46" s="10">
        <v>31427000</v>
      </c>
      <c r="D46" s="10">
        <v>100559000</v>
      </c>
      <c r="E46" s="10">
        <v>235886000</v>
      </c>
      <c r="F46" s="10">
        <v>372838000</v>
      </c>
      <c r="G46" s="10">
        <v>524768000</v>
      </c>
      <c r="H46" s="10">
        <v>1265939000</v>
      </c>
      <c r="I46" s="10">
        <v>3198657000</v>
      </c>
      <c r="J46" s="10">
        <v>2791568000</v>
      </c>
      <c r="K46" s="10">
        <v>6259796000</v>
      </c>
      <c r="L46" s="10">
        <v>6570520000</v>
      </c>
      <c r="M46" s="10">
        <v>8306308000</v>
      </c>
      <c r="N46" s="10">
        <v>12103000000</v>
      </c>
      <c r="O46" s="10">
        <v>26717000000</v>
      </c>
      <c r="P46" s="10">
        <v>27100000000</v>
      </c>
      <c r="Q46" s="10">
        <v>40917000000</v>
      </c>
    </row>
    <row r="47" spans="1:17" ht="19" x14ac:dyDescent="0.25">
      <c r="A47" s="5" t="s">
        <v>37</v>
      </c>
      <c r="B47" s="1">
        <v>11998000</v>
      </c>
      <c r="C47" s="1">
        <v>18793000</v>
      </c>
      <c r="D47" s="1">
        <v>23535000</v>
      </c>
      <c r="E47" s="1">
        <v>122599000</v>
      </c>
      <c r="F47" s="1">
        <v>310171000</v>
      </c>
      <c r="G47" s="1">
        <v>562300000</v>
      </c>
      <c r="H47" s="1">
        <v>1120919000</v>
      </c>
      <c r="I47" s="1">
        <v>2596011000</v>
      </c>
      <c r="J47" s="1">
        <v>5194737000</v>
      </c>
      <c r="K47" s="1">
        <v>15036917000</v>
      </c>
      <c r="L47" s="1">
        <v>20491616000</v>
      </c>
      <c r="M47" s="1">
        <v>19691231000</v>
      </c>
      <c r="N47" s="1">
        <v>20199000000</v>
      </c>
      <c r="O47" s="1">
        <v>23375000000</v>
      </c>
      <c r="P47" s="1">
        <v>31176000000</v>
      </c>
      <c r="Q47" s="1">
        <v>36635000000</v>
      </c>
    </row>
    <row r="48" spans="1:17" ht="19" x14ac:dyDescent="0.25">
      <c r="A48" s="5" t="s">
        <v>38</v>
      </c>
      <c r="B48" s="1" t="s">
        <v>92</v>
      </c>
      <c r="C48" s="1" t="s">
        <v>92</v>
      </c>
      <c r="D48" s="1" t="s">
        <v>92</v>
      </c>
      <c r="E48" s="1" t="s">
        <v>92</v>
      </c>
      <c r="F48" s="1" t="s">
        <v>92</v>
      </c>
      <c r="G48" s="1" t="s">
        <v>92</v>
      </c>
      <c r="H48" s="1" t="s">
        <v>92</v>
      </c>
      <c r="I48" s="1" t="s">
        <v>92</v>
      </c>
      <c r="J48" s="1" t="s">
        <v>92</v>
      </c>
      <c r="K48" s="1" t="s">
        <v>92</v>
      </c>
      <c r="L48" s="1">
        <v>60237000</v>
      </c>
      <c r="M48" s="1">
        <v>68159000</v>
      </c>
      <c r="N48" s="1">
        <v>198000000</v>
      </c>
      <c r="O48" s="1">
        <v>207000000</v>
      </c>
      <c r="P48" s="1">
        <v>200000000</v>
      </c>
      <c r="Q48" s="1">
        <v>194000000</v>
      </c>
    </row>
    <row r="49" spans="1:17" ht="19" x14ac:dyDescent="0.25">
      <c r="A49" s="5" t="s">
        <v>39</v>
      </c>
      <c r="B49" s="1" t="s">
        <v>92</v>
      </c>
      <c r="C49" s="1" t="s">
        <v>92</v>
      </c>
      <c r="D49" s="1" t="s">
        <v>92</v>
      </c>
      <c r="E49" s="1" t="s">
        <v>92</v>
      </c>
      <c r="F49" s="1" t="s">
        <v>92</v>
      </c>
      <c r="G49" s="1">
        <v>14267000</v>
      </c>
      <c r="H49" s="1">
        <v>13930000</v>
      </c>
      <c r="I49" s="1" t="s">
        <v>92</v>
      </c>
      <c r="J49" s="1" t="s">
        <v>92</v>
      </c>
      <c r="K49" s="1">
        <v>376145000</v>
      </c>
      <c r="L49" s="1">
        <v>361502000</v>
      </c>
      <c r="M49" s="1">
        <v>282492000</v>
      </c>
      <c r="N49" s="1">
        <v>339000000</v>
      </c>
      <c r="O49" s="1">
        <v>313000000</v>
      </c>
      <c r="P49" s="1">
        <v>1517000000</v>
      </c>
      <c r="Q49" s="1">
        <v>399000000</v>
      </c>
    </row>
    <row r="50" spans="1:17" ht="19" x14ac:dyDescent="0.25">
      <c r="A50" s="5" t="s">
        <v>40</v>
      </c>
      <c r="B50" s="1" t="s">
        <v>92</v>
      </c>
      <c r="C50" s="1" t="s">
        <v>92</v>
      </c>
      <c r="D50" s="1" t="s">
        <v>92</v>
      </c>
      <c r="E50" s="1" t="s">
        <v>92</v>
      </c>
      <c r="F50" s="1" t="s">
        <v>92</v>
      </c>
      <c r="G50" s="1">
        <v>14267000</v>
      </c>
      <c r="H50" s="1">
        <v>13930000</v>
      </c>
      <c r="I50" s="1" t="s">
        <v>92</v>
      </c>
      <c r="J50" s="1" t="s">
        <v>92</v>
      </c>
      <c r="K50" s="1">
        <v>376145000</v>
      </c>
      <c r="L50" s="1">
        <v>421739000</v>
      </c>
      <c r="M50" s="1">
        <v>350651000</v>
      </c>
      <c r="N50" s="1">
        <v>537000000</v>
      </c>
      <c r="O50" s="1">
        <v>520000000</v>
      </c>
      <c r="P50" s="1">
        <v>1717000000</v>
      </c>
      <c r="Q50" s="1">
        <v>593000000</v>
      </c>
    </row>
    <row r="51" spans="1:17" ht="19" x14ac:dyDescent="0.25">
      <c r="A51" s="5" t="s">
        <v>41</v>
      </c>
      <c r="B51" s="1" t="s">
        <v>92</v>
      </c>
      <c r="C51" s="1" t="s">
        <v>92</v>
      </c>
      <c r="D51" s="1" t="s">
        <v>92</v>
      </c>
      <c r="E51" s="1" t="s">
        <v>92</v>
      </c>
      <c r="F51" s="1" t="s">
        <v>92</v>
      </c>
      <c r="G51" s="1" t="s">
        <v>92</v>
      </c>
      <c r="H51" s="1" t="s">
        <v>92</v>
      </c>
      <c r="I51" s="1" t="s">
        <v>92</v>
      </c>
      <c r="J51" s="1" t="s">
        <v>92</v>
      </c>
      <c r="K51" s="1" t="s">
        <v>92</v>
      </c>
      <c r="L51" s="1" t="s">
        <v>92</v>
      </c>
      <c r="M51" s="1" t="s">
        <v>92</v>
      </c>
      <c r="N51" s="1" t="s">
        <v>92</v>
      </c>
      <c r="O51" s="1" t="s">
        <v>92</v>
      </c>
      <c r="P51" s="1" t="s">
        <v>92</v>
      </c>
      <c r="Q51" s="1" t="s">
        <v>92</v>
      </c>
    </row>
    <row r="52" spans="1:17" ht="19" x14ac:dyDescent="0.25">
      <c r="A52" s="5" t="s">
        <v>42</v>
      </c>
      <c r="B52" s="1" t="s">
        <v>92</v>
      </c>
      <c r="C52" s="1" t="s">
        <v>92</v>
      </c>
      <c r="D52" s="1" t="s">
        <v>92</v>
      </c>
      <c r="E52" s="1" t="s">
        <v>92</v>
      </c>
      <c r="F52" s="1" t="s">
        <v>92</v>
      </c>
      <c r="G52" s="1" t="s">
        <v>92</v>
      </c>
      <c r="H52" s="1" t="s">
        <v>92</v>
      </c>
      <c r="I52" s="1" t="s">
        <v>92</v>
      </c>
      <c r="J52" s="1" t="s">
        <v>92</v>
      </c>
      <c r="K52" s="1" t="s">
        <v>92</v>
      </c>
      <c r="L52" s="1" t="s">
        <v>92</v>
      </c>
      <c r="M52" s="1" t="s">
        <v>92</v>
      </c>
      <c r="N52" s="1" t="s">
        <v>92</v>
      </c>
      <c r="O52" s="1" t="s">
        <v>92</v>
      </c>
      <c r="P52" s="1" t="s">
        <v>92</v>
      </c>
      <c r="Q52" s="1" t="s">
        <v>92</v>
      </c>
    </row>
    <row r="53" spans="1:17" ht="19" x14ac:dyDescent="0.25">
      <c r="A53" s="5" t="s">
        <v>43</v>
      </c>
      <c r="B53" s="1">
        <v>531000</v>
      </c>
      <c r="C53" s="1">
        <v>1479000</v>
      </c>
      <c r="D53" s="1">
        <v>6330000</v>
      </c>
      <c r="E53" s="1">
        <v>27597000</v>
      </c>
      <c r="F53" s="1">
        <v>30439000</v>
      </c>
      <c r="G53" s="1">
        <v>12854000</v>
      </c>
      <c r="H53" s="1">
        <v>16142000</v>
      </c>
      <c r="I53" s="1">
        <v>54583000</v>
      </c>
      <c r="J53" s="1">
        <v>106155000</v>
      </c>
      <c r="K53" s="1">
        <v>991218000</v>
      </c>
      <c r="L53" s="1">
        <v>1171497000</v>
      </c>
      <c r="M53" s="1">
        <v>1391424000</v>
      </c>
      <c r="N53" s="1">
        <v>1470000000</v>
      </c>
      <c r="O53" s="1">
        <v>1536000000</v>
      </c>
      <c r="P53" s="1">
        <v>2138000000</v>
      </c>
      <c r="Q53" s="1">
        <v>4193000000</v>
      </c>
    </row>
    <row r="54" spans="1:17" ht="19" x14ac:dyDescent="0.25">
      <c r="A54" s="5" t="s">
        <v>44</v>
      </c>
      <c r="B54" s="1">
        <v>12529000</v>
      </c>
      <c r="C54" s="1">
        <v>20272000</v>
      </c>
      <c r="D54" s="1">
        <v>29865000</v>
      </c>
      <c r="E54" s="1">
        <v>150196000</v>
      </c>
      <c r="F54" s="1">
        <v>340610000</v>
      </c>
      <c r="G54" s="1">
        <v>589421000</v>
      </c>
      <c r="H54" s="1">
        <v>1150991000</v>
      </c>
      <c r="I54" s="1">
        <v>2650594000</v>
      </c>
      <c r="J54" s="1">
        <v>5300892000</v>
      </c>
      <c r="K54" s="1">
        <v>16404280000</v>
      </c>
      <c r="L54" s="1">
        <v>22084852000</v>
      </c>
      <c r="M54" s="1">
        <v>21433306000</v>
      </c>
      <c r="N54" s="1">
        <v>22206000000</v>
      </c>
      <c r="O54" s="1">
        <v>25431000000</v>
      </c>
      <c r="P54" s="1">
        <v>35031000000</v>
      </c>
      <c r="Q54" s="1">
        <v>41421000000</v>
      </c>
    </row>
    <row r="55" spans="1:17" ht="19" x14ac:dyDescent="0.25">
      <c r="A55" s="5" t="s">
        <v>45</v>
      </c>
      <c r="B55" s="1" t="s">
        <v>92</v>
      </c>
      <c r="C55" s="1" t="s">
        <v>92</v>
      </c>
      <c r="D55" s="1" t="s">
        <v>92</v>
      </c>
      <c r="E55" s="1" t="s">
        <v>92</v>
      </c>
      <c r="F55" s="1" t="s">
        <v>92</v>
      </c>
      <c r="G55" s="1">
        <v>1000</v>
      </c>
      <c r="H55" s="1" t="s">
        <v>92</v>
      </c>
      <c r="I55" s="1" t="s">
        <v>92</v>
      </c>
      <c r="J55" s="1" t="s">
        <v>92</v>
      </c>
      <c r="K55" s="1" t="s">
        <v>92</v>
      </c>
      <c r="L55" s="1" t="s">
        <v>92</v>
      </c>
      <c r="M55" s="1" t="s">
        <v>92</v>
      </c>
      <c r="N55" s="1" t="s">
        <v>92</v>
      </c>
      <c r="O55" s="1" t="s">
        <v>92</v>
      </c>
      <c r="P55" s="1" t="s">
        <v>92</v>
      </c>
      <c r="Q55" s="1" t="s">
        <v>92</v>
      </c>
    </row>
    <row r="56" spans="1:17" ht="19" x14ac:dyDescent="0.25">
      <c r="A56" s="7" t="s">
        <v>46</v>
      </c>
      <c r="B56" s="11">
        <v>34837000</v>
      </c>
      <c r="C56" s="11">
        <v>51699000</v>
      </c>
      <c r="D56" s="11">
        <v>130424000</v>
      </c>
      <c r="E56" s="11">
        <v>386082000</v>
      </c>
      <c r="F56" s="11">
        <v>713448000</v>
      </c>
      <c r="G56" s="11">
        <v>1114190000</v>
      </c>
      <c r="H56" s="11">
        <v>2416930000</v>
      </c>
      <c r="I56" s="11">
        <v>5849251000</v>
      </c>
      <c r="J56" s="11">
        <v>8092460000</v>
      </c>
      <c r="K56" s="11">
        <v>22664076000</v>
      </c>
      <c r="L56" s="11">
        <v>28655372000</v>
      </c>
      <c r="M56" s="11">
        <v>29739614000</v>
      </c>
      <c r="N56" s="11">
        <v>34309000000</v>
      </c>
      <c r="O56" s="11">
        <v>52148000000</v>
      </c>
      <c r="P56" s="11">
        <v>62131000000</v>
      </c>
      <c r="Q56" s="11">
        <v>82338000000</v>
      </c>
    </row>
    <row r="57" spans="1:17" ht="19" x14ac:dyDescent="0.25">
      <c r="A57" s="5" t="s">
        <v>47</v>
      </c>
      <c r="B57" s="1">
        <v>5369000</v>
      </c>
      <c r="C57" s="1">
        <v>14184000</v>
      </c>
      <c r="D57" s="1">
        <v>15086000</v>
      </c>
      <c r="E57" s="1">
        <v>28951000</v>
      </c>
      <c r="F57" s="1">
        <v>56141000</v>
      </c>
      <c r="G57" s="1">
        <v>303382000</v>
      </c>
      <c r="H57" s="1">
        <v>303969000</v>
      </c>
      <c r="I57" s="1">
        <v>777946000</v>
      </c>
      <c r="J57" s="1">
        <v>916148000</v>
      </c>
      <c r="K57" s="1">
        <v>1860341000</v>
      </c>
      <c r="L57" s="1">
        <v>2390250000</v>
      </c>
      <c r="M57" s="1">
        <v>3404451000</v>
      </c>
      <c r="N57" s="1">
        <v>3771000000</v>
      </c>
      <c r="O57" s="1">
        <v>6051000000</v>
      </c>
      <c r="P57" s="1">
        <v>10025000000</v>
      </c>
      <c r="Q57" s="1">
        <v>15255000000</v>
      </c>
    </row>
    <row r="58" spans="1:17" ht="19" x14ac:dyDescent="0.25">
      <c r="A58" s="5" t="s">
        <v>48</v>
      </c>
      <c r="B58" s="1">
        <v>80000</v>
      </c>
      <c r="C58" s="1">
        <v>341000</v>
      </c>
      <c r="D58" s="1">
        <v>290000</v>
      </c>
      <c r="E58" s="1">
        <v>279000</v>
      </c>
      <c r="F58" s="1">
        <v>8983000</v>
      </c>
      <c r="G58" s="1">
        <v>55206000</v>
      </c>
      <c r="H58" s="1">
        <v>7904000</v>
      </c>
      <c r="I58" s="1">
        <v>632128000</v>
      </c>
      <c r="J58" s="1">
        <v>633166000</v>
      </c>
      <c r="K58" s="1">
        <v>1202178000</v>
      </c>
      <c r="L58" s="1">
        <v>963862000</v>
      </c>
      <c r="M58" s="1">
        <v>2711199000</v>
      </c>
      <c r="N58" s="1">
        <v>2070000000</v>
      </c>
      <c r="O58" s="1">
        <v>2418000000</v>
      </c>
      <c r="P58" s="1">
        <v>1957000000</v>
      </c>
      <c r="Q58" s="1">
        <v>1502000000</v>
      </c>
    </row>
    <row r="59" spans="1:17" ht="19" x14ac:dyDescent="0.25">
      <c r="A59" s="5" t="s">
        <v>49</v>
      </c>
      <c r="B59" s="1" t="s">
        <v>92</v>
      </c>
      <c r="C59" s="1" t="s">
        <v>92</v>
      </c>
      <c r="D59" s="1" t="s">
        <v>92</v>
      </c>
      <c r="E59" s="1">
        <v>2674000</v>
      </c>
      <c r="F59" s="1">
        <v>967000</v>
      </c>
      <c r="G59" s="1">
        <v>9710000</v>
      </c>
      <c r="H59" s="1">
        <v>38067000</v>
      </c>
      <c r="I59" s="1">
        <v>71229000</v>
      </c>
      <c r="J59" s="1">
        <v>101206000</v>
      </c>
      <c r="K59" s="1">
        <v>152897000</v>
      </c>
      <c r="L59" s="1">
        <v>185807000</v>
      </c>
      <c r="M59" s="1">
        <v>348663000</v>
      </c>
      <c r="N59" s="1">
        <v>611000000</v>
      </c>
      <c r="O59" s="1">
        <v>777000000</v>
      </c>
      <c r="P59" s="1">
        <v>1122000000</v>
      </c>
      <c r="Q59" s="1" t="s">
        <v>92</v>
      </c>
    </row>
    <row r="60" spans="1:17" ht="19" x14ac:dyDescent="0.25">
      <c r="A60" s="5" t="s">
        <v>50</v>
      </c>
      <c r="B60" s="1" t="s">
        <v>92</v>
      </c>
      <c r="C60" s="1">
        <v>4073000</v>
      </c>
      <c r="D60" s="1">
        <v>1377000</v>
      </c>
      <c r="E60" s="1">
        <v>4635000</v>
      </c>
      <c r="F60" s="1">
        <v>2345000</v>
      </c>
      <c r="G60" s="1">
        <v>140722000</v>
      </c>
      <c r="H60" s="1">
        <v>255035000</v>
      </c>
      <c r="I60" s="1">
        <v>449238000</v>
      </c>
      <c r="J60" s="1">
        <v>707331000</v>
      </c>
      <c r="K60" s="1">
        <v>1426985000</v>
      </c>
      <c r="L60" s="1">
        <v>1869172000</v>
      </c>
      <c r="M60" s="1">
        <v>1422893000</v>
      </c>
      <c r="N60" s="1">
        <v>1889000000</v>
      </c>
      <c r="O60" s="1">
        <v>2210000000</v>
      </c>
      <c r="P60" s="1">
        <v>2372000000</v>
      </c>
      <c r="Q60" s="1">
        <v>2810000000</v>
      </c>
    </row>
    <row r="61" spans="1:17" ht="19" x14ac:dyDescent="0.25">
      <c r="A61" s="5" t="s">
        <v>51</v>
      </c>
      <c r="B61" s="1">
        <v>45847000</v>
      </c>
      <c r="C61" s="1">
        <v>69337000</v>
      </c>
      <c r="D61" s="1">
        <v>40736000</v>
      </c>
      <c r="E61" s="1">
        <v>49026000</v>
      </c>
      <c r="F61" s="1">
        <v>122903000</v>
      </c>
      <c r="G61" s="1">
        <v>30088000</v>
      </c>
      <c r="H61" s="1">
        <v>70185000</v>
      </c>
      <c r="I61" s="1">
        <v>176625000</v>
      </c>
      <c r="J61" s="1">
        <v>458423000</v>
      </c>
      <c r="K61" s="1">
        <v>1184604000</v>
      </c>
      <c r="L61" s="1">
        <v>2265579000</v>
      </c>
      <c r="M61" s="1">
        <v>2104930000</v>
      </c>
      <c r="N61" s="1">
        <v>2326000000</v>
      </c>
      <c r="O61" s="1">
        <v>2792000000</v>
      </c>
      <c r="P61" s="1">
        <v>4229000000</v>
      </c>
      <c r="Q61" s="1">
        <v>7142000000</v>
      </c>
    </row>
    <row r="62" spans="1:17" ht="19" x14ac:dyDescent="0.25">
      <c r="A62" s="6" t="s">
        <v>52</v>
      </c>
      <c r="B62" s="10">
        <v>51296000</v>
      </c>
      <c r="C62" s="10">
        <v>87935000</v>
      </c>
      <c r="D62" s="10">
        <v>57489000</v>
      </c>
      <c r="E62" s="10">
        <v>85565000</v>
      </c>
      <c r="F62" s="10">
        <v>191339000</v>
      </c>
      <c r="G62" s="10">
        <v>539108000</v>
      </c>
      <c r="H62" s="10">
        <v>675160000</v>
      </c>
      <c r="I62" s="10">
        <v>2107166000</v>
      </c>
      <c r="J62" s="10">
        <v>2816274000</v>
      </c>
      <c r="K62" s="10">
        <v>5827005000</v>
      </c>
      <c r="L62" s="10">
        <v>7674670000</v>
      </c>
      <c r="M62" s="10">
        <v>9992136000</v>
      </c>
      <c r="N62" s="10">
        <v>10667000000</v>
      </c>
      <c r="O62" s="10">
        <v>14248000000</v>
      </c>
      <c r="P62" s="10">
        <v>19705000000</v>
      </c>
      <c r="Q62" s="10">
        <v>26709000000</v>
      </c>
    </row>
    <row r="63" spans="1:17" ht="19" x14ac:dyDescent="0.25">
      <c r="A63" s="5" t="s">
        <v>53</v>
      </c>
      <c r="B63" s="1">
        <v>18000</v>
      </c>
      <c r="C63" s="1">
        <v>55416000</v>
      </c>
      <c r="D63" s="1">
        <v>800000</v>
      </c>
      <c r="E63" s="1">
        <v>72324000</v>
      </c>
      <c r="F63" s="1">
        <v>271165000</v>
      </c>
      <c r="G63" s="1">
        <v>411460000</v>
      </c>
      <c r="H63" s="1">
        <v>598974000</v>
      </c>
      <c r="I63" s="1">
        <v>1876981000</v>
      </c>
      <c r="J63" s="1">
        <v>2082420000</v>
      </c>
      <c r="K63" s="1">
        <v>7385937000</v>
      </c>
      <c r="L63" s="1">
        <v>11152086000</v>
      </c>
      <c r="M63" s="1">
        <v>11116072000</v>
      </c>
      <c r="N63" s="1">
        <v>12627000000</v>
      </c>
      <c r="O63" s="1">
        <v>10861000000</v>
      </c>
      <c r="P63" s="1">
        <v>6916000000</v>
      </c>
      <c r="Q63" s="1">
        <v>1597000000</v>
      </c>
    </row>
    <row r="64" spans="1:17" ht="19" x14ac:dyDescent="0.25">
      <c r="A64" s="5" t="s">
        <v>50</v>
      </c>
      <c r="B64" s="1" t="s">
        <v>92</v>
      </c>
      <c r="C64" s="1" t="s">
        <v>92</v>
      </c>
      <c r="D64" s="1">
        <v>1240000</v>
      </c>
      <c r="E64" s="1">
        <v>2783000</v>
      </c>
      <c r="F64" s="1">
        <v>3146000</v>
      </c>
      <c r="G64" s="1">
        <v>3060000</v>
      </c>
      <c r="H64" s="1">
        <v>181180000</v>
      </c>
      <c r="I64" s="1">
        <v>292271000</v>
      </c>
      <c r="J64" s="1">
        <v>446105000</v>
      </c>
      <c r="K64" s="1">
        <v>851790000</v>
      </c>
      <c r="L64" s="1">
        <v>1177799000</v>
      </c>
      <c r="M64" s="1">
        <v>990873000</v>
      </c>
      <c r="N64" s="1">
        <v>1207000000</v>
      </c>
      <c r="O64" s="1">
        <v>1284000000</v>
      </c>
      <c r="P64" s="1">
        <v>2052000000</v>
      </c>
      <c r="Q64" s="1">
        <v>2804000000</v>
      </c>
    </row>
    <row r="65" spans="1:17" ht="19" x14ac:dyDescent="0.25">
      <c r="A65" s="5" t="s">
        <v>54</v>
      </c>
      <c r="B65" s="1" t="s">
        <v>92</v>
      </c>
      <c r="C65" s="1" t="s">
        <v>92</v>
      </c>
      <c r="D65" s="1" t="s">
        <v>92</v>
      </c>
      <c r="E65" s="1" t="s">
        <v>92</v>
      </c>
      <c r="F65" s="1" t="s">
        <v>92</v>
      </c>
      <c r="G65" s="1" t="s">
        <v>92</v>
      </c>
      <c r="H65" s="1">
        <v>6821000</v>
      </c>
      <c r="I65" s="1" t="s">
        <v>92</v>
      </c>
      <c r="J65" s="1" t="s">
        <v>92</v>
      </c>
      <c r="K65" s="1" t="s">
        <v>92</v>
      </c>
      <c r="L65" s="1" t="s">
        <v>92</v>
      </c>
      <c r="M65" s="1" t="s">
        <v>92</v>
      </c>
      <c r="N65" s="1" t="s">
        <v>92</v>
      </c>
      <c r="O65" s="1">
        <v>151000000</v>
      </c>
      <c r="P65" s="1">
        <v>24000000</v>
      </c>
      <c r="Q65" s="1" t="s">
        <v>92</v>
      </c>
    </row>
    <row r="66" spans="1:17" ht="19" x14ac:dyDescent="0.25">
      <c r="A66" s="5" t="s">
        <v>55</v>
      </c>
      <c r="B66" s="1">
        <v>101369000</v>
      </c>
      <c r="C66" s="1">
        <v>108062000</v>
      </c>
      <c r="D66" s="1">
        <v>324418000</v>
      </c>
      <c r="E66" s="1">
        <v>18362000</v>
      </c>
      <c r="F66" s="1">
        <v>23753000</v>
      </c>
      <c r="G66" s="1">
        <v>35862000</v>
      </c>
      <c r="H66" s="1">
        <v>287675000</v>
      </c>
      <c r="I66" s="1">
        <v>661123000</v>
      </c>
      <c r="J66" s="1">
        <v>1658717000</v>
      </c>
      <c r="K66" s="1">
        <v>2694219000</v>
      </c>
      <c r="L66" s="1">
        <v>3018495000</v>
      </c>
      <c r="M66" s="1">
        <v>1326929000</v>
      </c>
      <c r="N66" s="1">
        <v>1698000000</v>
      </c>
      <c r="O66" s="1">
        <v>1925000000</v>
      </c>
      <c r="P66" s="1">
        <v>1851000000</v>
      </c>
      <c r="Q66" s="1">
        <v>6115000000</v>
      </c>
    </row>
    <row r="67" spans="1:17" ht="19" x14ac:dyDescent="0.25">
      <c r="A67" s="5" t="s">
        <v>56</v>
      </c>
      <c r="B67" s="1">
        <v>101387000</v>
      </c>
      <c r="C67" s="1">
        <v>163478000</v>
      </c>
      <c r="D67" s="1">
        <v>326458000</v>
      </c>
      <c r="E67" s="1">
        <v>93469000</v>
      </c>
      <c r="F67" s="1">
        <v>298064000</v>
      </c>
      <c r="G67" s="1">
        <v>450382000</v>
      </c>
      <c r="H67" s="1">
        <v>1074650000</v>
      </c>
      <c r="I67" s="1">
        <v>2830375000</v>
      </c>
      <c r="J67" s="1">
        <v>4187242000</v>
      </c>
      <c r="K67" s="1">
        <v>10931946000</v>
      </c>
      <c r="L67" s="1">
        <v>15348380000</v>
      </c>
      <c r="M67" s="1">
        <v>13433874000</v>
      </c>
      <c r="N67" s="1">
        <v>15532000000</v>
      </c>
      <c r="O67" s="1">
        <v>14221000000</v>
      </c>
      <c r="P67" s="1">
        <v>10843000000</v>
      </c>
      <c r="Q67" s="1">
        <v>10516000000</v>
      </c>
    </row>
    <row r="68" spans="1:17" ht="19" x14ac:dyDescent="0.25">
      <c r="A68" s="5" t="s">
        <v>57</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t="s">
        <v>92</v>
      </c>
      <c r="Q68" s="1" t="s">
        <v>92</v>
      </c>
    </row>
    <row r="69" spans="1:17" ht="19" x14ac:dyDescent="0.25">
      <c r="A69" s="6" t="s">
        <v>58</v>
      </c>
      <c r="B69" s="10">
        <v>152683000</v>
      </c>
      <c r="C69" s="10">
        <v>251413000</v>
      </c>
      <c r="D69" s="10">
        <v>383947000</v>
      </c>
      <c r="E69" s="10">
        <v>179034000</v>
      </c>
      <c r="F69" s="10">
        <v>489403000</v>
      </c>
      <c r="G69" s="10">
        <v>989490000</v>
      </c>
      <c r="H69" s="10">
        <v>1749810000</v>
      </c>
      <c r="I69" s="10">
        <v>4937541000</v>
      </c>
      <c r="J69" s="10">
        <v>7003516000</v>
      </c>
      <c r="K69" s="10">
        <v>16758951000</v>
      </c>
      <c r="L69" s="10">
        <v>23023050000</v>
      </c>
      <c r="M69" s="10">
        <v>23426010000</v>
      </c>
      <c r="N69" s="10">
        <v>26199000000</v>
      </c>
      <c r="O69" s="10">
        <v>28469000000</v>
      </c>
      <c r="P69" s="10">
        <v>30548000000</v>
      </c>
      <c r="Q69" s="10">
        <v>37225000000</v>
      </c>
    </row>
    <row r="70" spans="1:17" ht="19" x14ac:dyDescent="0.25">
      <c r="A70" s="5" t="s">
        <v>59</v>
      </c>
      <c r="B70" s="1">
        <v>18000</v>
      </c>
      <c r="C70" s="1">
        <v>21000</v>
      </c>
      <c r="D70" s="1">
        <v>7000</v>
      </c>
      <c r="E70" s="1">
        <v>95000</v>
      </c>
      <c r="F70" s="1">
        <v>104000</v>
      </c>
      <c r="G70" s="1">
        <v>115000</v>
      </c>
      <c r="H70" s="1">
        <v>123000</v>
      </c>
      <c r="I70" s="1">
        <v>126000</v>
      </c>
      <c r="J70" s="1">
        <v>131000</v>
      </c>
      <c r="K70" s="1">
        <v>161000</v>
      </c>
      <c r="L70" s="1">
        <v>169000</v>
      </c>
      <c r="M70" s="1">
        <v>173000</v>
      </c>
      <c r="N70" s="1" t="s">
        <v>92</v>
      </c>
      <c r="O70" s="1">
        <v>1000000</v>
      </c>
      <c r="P70" s="1">
        <v>1000000</v>
      </c>
      <c r="Q70" s="1">
        <v>3000000</v>
      </c>
    </row>
    <row r="71" spans="1:17" ht="19" x14ac:dyDescent="0.25">
      <c r="A71" s="5" t="s">
        <v>60</v>
      </c>
      <c r="B71" s="1">
        <v>-122132000</v>
      </c>
      <c r="C71" s="1">
        <v>-204914000</v>
      </c>
      <c r="D71" s="1">
        <v>-260654000</v>
      </c>
      <c r="E71" s="1">
        <v>-414982000</v>
      </c>
      <c r="F71" s="1">
        <v>-669392000</v>
      </c>
      <c r="G71" s="1">
        <v>-1065606000</v>
      </c>
      <c r="H71" s="1">
        <v>-1139620000</v>
      </c>
      <c r="I71" s="1">
        <v>-1433682000</v>
      </c>
      <c r="J71" s="1">
        <v>-2322323000</v>
      </c>
      <c r="K71" s="1">
        <v>-2997237000</v>
      </c>
      <c r="L71" s="1">
        <v>-4974299000</v>
      </c>
      <c r="M71" s="1">
        <v>-5317832000</v>
      </c>
      <c r="N71" s="1">
        <v>-6083000000</v>
      </c>
      <c r="O71" s="1">
        <v>-5399000000</v>
      </c>
      <c r="P71" s="1">
        <v>331000000</v>
      </c>
      <c r="Q71" s="1">
        <v>12885000000</v>
      </c>
    </row>
    <row r="72" spans="1:17" ht="19" x14ac:dyDescent="0.25">
      <c r="A72" s="5" t="s">
        <v>61</v>
      </c>
      <c r="B72" s="1" t="s">
        <v>92</v>
      </c>
      <c r="C72" s="1" t="s">
        <v>92</v>
      </c>
      <c r="D72" s="1" t="s">
        <v>92</v>
      </c>
      <c r="E72" s="1" t="s">
        <v>92</v>
      </c>
      <c r="F72" s="1">
        <v>-3000</v>
      </c>
      <c r="G72" s="1" t="s">
        <v>92</v>
      </c>
      <c r="H72" s="1" t="s">
        <v>92</v>
      </c>
      <c r="I72" s="1" t="s">
        <v>92</v>
      </c>
      <c r="J72" s="1">
        <v>-3556000</v>
      </c>
      <c r="K72" s="1">
        <v>-23740000</v>
      </c>
      <c r="L72" s="1">
        <v>33348000</v>
      </c>
      <c r="M72" s="1">
        <v>-8218000</v>
      </c>
      <c r="N72" s="1">
        <v>-36000000</v>
      </c>
      <c r="O72" s="1">
        <v>363000000</v>
      </c>
      <c r="P72" s="1">
        <v>54000000</v>
      </c>
      <c r="Q72" s="1">
        <v>-361000000</v>
      </c>
    </row>
    <row r="73" spans="1:17" ht="19" x14ac:dyDescent="0.25">
      <c r="A73" s="5" t="s">
        <v>62</v>
      </c>
      <c r="B73" s="1">
        <v>4268000</v>
      </c>
      <c r="C73" s="1">
        <v>5179000</v>
      </c>
      <c r="D73" s="1">
        <v>7124000</v>
      </c>
      <c r="E73" s="1">
        <v>621935000</v>
      </c>
      <c r="F73" s="1">
        <v>893336000</v>
      </c>
      <c r="G73" s="1">
        <v>1190191000</v>
      </c>
      <c r="H73" s="1">
        <v>1806617000</v>
      </c>
      <c r="I73" s="1">
        <v>2345266000</v>
      </c>
      <c r="J73" s="1">
        <v>3414692000</v>
      </c>
      <c r="K73" s="1">
        <v>7773727000</v>
      </c>
      <c r="L73" s="1">
        <v>9178024000</v>
      </c>
      <c r="M73" s="1">
        <v>10249120000</v>
      </c>
      <c r="N73" s="1">
        <v>12737000000</v>
      </c>
      <c r="O73" s="1">
        <v>27260000000</v>
      </c>
      <c r="P73" s="1">
        <v>29803000000</v>
      </c>
      <c r="Q73" s="1">
        <v>32177000000</v>
      </c>
    </row>
    <row r="74" spans="1:17" ht="19" x14ac:dyDescent="0.25">
      <c r="A74" s="6" t="s">
        <v>63</v>
      </c>
      <c r="B74" s="10">
        <v>-117846000</v>
      </c>
      <c r="C74" s="10">
        <v>-199714000</v>
      </c>
      <c r="D74" s="10">
        <v>-253523000</v>
      </c>
      <c r="E74" s="10">
        <v>207048000</v>
      </c>
      <c r="F74" s="10">
        <v>224045000</v>
      </c>
      <c r="G74" s="10">
        <v>124700000</v>
      </c>
      <c r="H74" s="10">
        <v>667120000</v>
      </c>
      <c r="I74" s="10">
        <v>911710000</v>
      </c>
      <c r="J74" s="10">
        <v>1088944000</v>
      </c>
      <c r="K74" s="10">
        <v>4752911000</v>
      </c>
      <c r="L74" s="10">
        <v>4237242000</v>
      </c>
      <c r="M74" s="10">
        <v>4923243000</v>
      </c>
      <c r="N74" s="10">
        <v>6618000000</v>
      </c>
      <c r="O74" s="10">
        <v>22225000000</v>
      </c>
      <c r="P74" s="10">
        <v>30189000000</v>
      </c>
      <c r="Q74" s="10">
        <v>44704000000</v>
      </c>
    </row>
    <row r="75" spans="1:17" ht="19" x14ac:dyDescent="0.25">
      <c r="A75" s="7" t="s">
        <v>64</v>
      </c>
      <c r="B75" s="11">
        <v>34837000</v>
      </c>
      <c r="C75" s="11">
        <v>51699000</v>
      </c>
      <c r="D75" s="11">
        <v>130424000</v>
      </c>
      <c r="E75" s="11">
        <v>386082000</v>
      </c>
      <c r="F75" s="11">
        <v>713448000</v>
      </c>
      <c r="G75" s="11">
        <v>1114190000</v>
      </c>
      <c r="H75" s="11">
        <v>2416930000</v>
      </c>
      <c r="I75" s="11">
        <v>5849251000</v>
      </c>
      <c r="J75" s="11">
        <v>8092460000</v>
      </c>
      <c r="K75" s="11">
        <v>21511862000</v>
      </c>
      <c r="L75" s="11">
        <v>27260292000</v>
      </c>
      <c r="M75" s="11">
        <v>28349253000</v>
      </c>
      <c r="N75" s="11">
        <v>32817000000</v>
      </c>
      <c r="O75" s="11">
        <v>50694000000</v>
      </c>
      <c r="P75" s="11">
        <v>60737000000</v>
      </c>
      <c r="Q75" s="11">
        <v>81929000000</v>
      </c>
    </row>
    <row r="76" spans="1:17" ht="19" x14ac:dyDescent="0.25">
      <c r="A76" s="5" t="s">
        <v>28</v>
      </c>
      <c r="B76" s="13" t="s">
        <v>93</v>
      </c>
      <c r="C76" s="13" t="s">
        <v>93</v>
      </c>
      <c r="D76" s="13" t="s">
        <v>93</v>
      </c>
      <c r="E76" s="13" t="s">
        <v>93</v>
      </c>
      <c r="F76" s="13" t="s">
        <v>93</v>
      </c>
      <c r="G76" s="13" t="s">
        <v>93</v>
      </c>
      <c r="H76" s="13" t="s">
        <v>93</v>
      </c>
      <c r="I76" s="13" t="s">
        <v>93</v>
      </c>
      <c r="J76" s="13" t="s">
        <v>93</v>
      </c>
      <c r="K76" s="13" t="s">
        <v>93</v>
      </c>
      <c r="L76" s="13" t="s">
        <v>93</v>
      </c>
      <c r="M76" s="13" t="s">
        <v>93</v>
      </c>
      <c r="N76" s="13" t="s">
        <v>93</v>
      </c>
      <c r="O76" s="13" t="s">
        <v>93</v>
      </c>
      <c r="P76" s="13" t="s">
        <v>93</v>
      </c>
      <c r="Q76" s="13" t="s">
        <v>93</v>
      </c>
    </row>
    <row r="77" spans="1:17" ht="21" x14ac:dyDescent="0.25">
      <c r="A77" s="4" t="s">
        <v>65</v>
      </c>
      <c r="B77" s="9" t="s">
        <v>91</v>
      </c>
      <c r="C77" s="9" t="s">
        <v>91</v>
      </c>
      <c r="D77" s="9" t="s">
        <v>91</v>
      </c>
      <c r="E77" s="9" t="s">
        <v>91</v>
      </c>
      <c r="F77" s="9" t="s">
        <v>91</v>
      </c>
      <c r="G77" s="9" t="s">
        <v>91</v>
      </c>
      <c r="H77" s="9" t="s">
        <v>91</v>
      </c>
      <c r="I77" s="9" t="s">
        <v>91</v>
      </c>
      <c r="J77" s="9" t="s">
        <v>91</v>
      </c>
      <c r="K77" s="9" t="s">
        <v>91</v>
      </c>
      <c r="L77" s="9" t="s">
        <v>91</v>
      </c>
      <c r="M77" s="9" t="s">
        <v>91</v>
      </c>
      <c r="N77" s="9" t="s">
        <v>91</v>
      </c>
      <c r="O77" s="9" t="s">
        <v>91</v>
      </c>
      <c r="P77" s="9" t="s">
        <v>91</v>
      </c>
      <c r="Q77" s="9" t="s">
        <v>91</v>
      </c>
    </row>
    <row r="78" spans="1:17" ht="19" x14ac:dyDescent="0.25">
      <c r="A78" s="5" t="s">
        <v>66</v>
      </c>
      <c r="B78" s="1">
        <v>-78157000</v>
      </c>
      <c r="C78" s="1">
        <v>-82782000</v>
      </c>
      <c r="D78" s="1">
        <v>-55740000</v>
      </c>
      <c r="E78" s="1">
        <v>-154328000</v>
      </c>
      <c r="F78" s="1">
        <v>-254411000</v>
      </c>
      <c r="G78" s="1">
        <v>-396213000</v>
      </c>
      <c r="H78" s="1">
        <v>-74014000</v>
      </c>
      <c r="I78" s="1">
        <v>-294040000</v>
      </c>
      <c r="J78" s="1">
        <v>-888663000</v>
      </c>
      <c r="K78" s="1">
        <v>-773046000</v>
      </c>
      <c r="L78" s="1">
        <v>-2240578000</v>
      </c>
      <c r="M78" s="1">
        <v>-1062582000</v>
      </c>
      <c r="N78" s="1">
        <v>-775000000</v>
      </c>
      <c r="O78" s="1">
        <v>862000000</v>
      </c>
      <c r="P78" s="1">
        <v>5644000000</v>
      </c>
      <c r="Q78" s="1">
        <v>12587000000</v>
      </c>
    </row>
    <row r="79" spans="1:17" ht="19" x14ac:dyDescent="0.25">
      <c r="A79" s="5" t="s">
        <v>13</v>
      </c>
      <c r="B79" s="1">
        <v>2895000</v>
      </c>
      <c r="C79" s="1">
        <v>4157000</v>
      </c>
      <c r="D79" s="1">
        <v>6940000</v>
      </c>
      <c r="E79" s="1">
        <v>10623000</v>
      </c>
      <c r="F79" s="1">
        <v>16919000</v>
      </c>
      <c r="G79" s="1">
        <v>28825000</v>
      </c>
      <c r="H79" s="1">
        <v>106083000</v>
      </c>
      <c r="I79" s="1">
        <v>231931000</v>
      </c>
      <c r="J79" s="1">
        <v>422590000</v>
      </c>
      <c r="K79" s="1">
        <v>947099000</v>
      </c>
      <c r="L79" s="1">
        <v>1636003000</v>
      </c>
      <c r="M79" s="1">
        <v>1901050000</v>
      </c>
      <c r="N79" s="1">
        <v>2154000000</v>
      </c>
      <c r="O79" s="1">
        <v>2322000000</v>
      </c>
      <c r="P79" s="1">
        <v>2911000000</v>
      </c>
      <c r="Q79" s="1">
        <v>3747000000</v>
      </c>
    </row>
    <row r="80" spans="1:17" ht="19" x14ac:dyDescent="0.25">
      <c r="A80" s="5" t="s">
        <v>67</v>
      </c>
      <c r="B80" s="1" t="s">
        <v>92</v>
      </c>
      <c r="C80" s="1" t="s">
        <v>92</v>
      </c>
      <c r="D80" s="1" t="s">
        <v>92</v>
      </c>
      <c r="E80" s="1" t="s">
        <v>92</v>
      </c>
      <c r="F80" s="1" t="s">
        <v>92</v>
      </c>
      <c r="G80" s="1" t="s">
        <v>92</v>
      </c>
      <c r="H80" s="1" t="s">
        <v>92</v>
      </c>
      <c r="I80" s="1" t="s">
        <v>92</v>
      </c>
      <c r="J80" s="1" t="s">
        <v>92</v>
      </c>
      <c r="K80" s="1" t="s">
        <v>92</v>
      </c>
      <c r="L80" s="1" t="s">
        <v>92</v>
      </c>
      <c r="M80" s="1" t="s">
        <v>92</v>
      </c>
      <c r="N80" s="1" t="s">
        <v>92</v>
      </c>
      <c r="O80" s="1" t="s">
        <v>92</v>
      </c>
      <c r="P80" s="1" t="s">
        <v>92</v>
      </c>
      <c r="Q80" s="1" t="s">
        <v>92</v>
      </c>
    </row>
    <row r="81" spans="1:25" ht="19" x14ac:dyDescent="0.25">
      <c r="A81" s="5" t="s">
        <v>68</v>
      </c>
      <c r="B81" s="1">
        <v>198000</v>
      </c>
      <c r="C81" s="1">
        <v>437000</v>
      </c>
      <c r="D81" s="1">
        <v>1434000</v>
      </c>
      <c r="E81" s="1">
        <v>21156000</v>
      </c>
      <c r="F81" s="1">
        <v>29419000</v>
      </c>
      <c r="G81" s="1">
        <v>50145000</v>
      </c>
      <c r="H81" s="1">
        <v>80737000</v>
      </c>
      <c r="I81" s="1">
        <v>156496000</v>
      </c>
      <c r="J81" s="1">
        <v>197999000</v>
      </c>
      <c r="K81" s="1">
        <v>334225000</v>
      </c>
      <c r="L81" s="1">
        <v>466760000</v>
      </c>
      <c r="M81" s="1">
        <v>749024000</v>
      </c>
      <c r="N81" s="1">
        <v>898000000</v>
      </c>
      <c r="O81" s="1">
        <v>1734000000</v>
      </c>
      <c r="P81" s="1">
        <v>2121000000</v>
      </c>
      <c r="Q81" s="1">
        <v>1560000000</v>
      </c>
    </row>
    <row r="82" spans="1:25" ht="19" x14ac:dyDescent="0.25">
      <c r="A82" s="19" t="s">
        <v>108</v>
      </c>
      <c r="B82" s="15">
        <f>B81/B5</f>
        <v>2.7123287671232879</v>
      </c>
      <c r="C82" s="15">
        <f>C81/C5</f>
        <v>2.9643196309862976E-2</v>
      </c>
      <c r="D82" s="15">
        <f t="shared" ref="D82:Q82" si="68">D81/D5</f>
        <v>1.2810090849807491E-2</v>
      </c>
      <c r="E82" s="15">
        <f t="shared" si="68"/>
        <v>0.1812170218597958</v>
      </c>
      <c r="F82" s="15">
        <f t="shared" si="68"/>
        <v>0.14403991343602196</v>
      </c>
      <c r="G82" s="15">
        <f t="shared" si="68"/>
        <v>0.12134125094372496</v>
      </c>
      <c r="H82" s="15">
        <f t="shared" si="68"/>
        <v>4.0097919240961989E-2</v>
      </c>
      <c r="I82" s="15">
        <f t="shared" si="68"/>
        <v>4.8930137858324715E-2</v>
      </c>
      <c r="J82" s="15">
        <f t="shared" si="68"/>
        <v>4.8936672413047375E-2</v>
      </c>
      <c r="K82" s="15">
        <f t="shared" si="68"/>
        <v>4.7745528227182005E-2</v>
      </c>
      <c r="L82" s="15">
        <f t="shared" si="68"/>
        <v>3.9694692063808476E-2</v>
      </c>
      <c r="M82" s="15">
        <f t="shared" si="68"/>
        <v>3.4901199686803219E-2</v>
      </c>
      <c r="N82" s="15">
        <f t="shared" si="68"/>
        <v>3.6536740174139472E-2</v>
      </c>
      <c r="O82" s="15">
        <f t="shared" si="68"/>
        <v>5.498477929984779E-2</v>
      </c>
      <c r="P82" s="15">
        <f t="shared" si="68"/>
        <v>3.9406944986344131E-2</v>
      </c>
      <c r="Q82" s="15">
        <f t="shared" si="68"/>
        <v>1.9150033144288134E-2</v>
      </c>
    </row>
    <row r="83" spans="1:25" ht="19" x14ac:dyDescent="0.25">
      <c r="A83" s="5" t="s">
        <v>69</v>
      </c>
      <c r="B83" s="1">
        <v>19210000</v>
      </c>
      <c r="C83" s="1">
        <v>20529000</v>
      </c>
      <c r="D83" s="1">
        <v>-37543000</v>
      </c>
      <c r="E83" s="1">
        <v>-11175000</v>
      </c>
      <c r="F83" s="1">
        <v>88897000</v>
      </c>
      <c r="G83" s="1">
        <v>42819000</v>
      </c>
      <c r="H83" s="1">
        <v>124995000</v>
      </c>
      <c r="I83" s="1">
        <v>-256825000</v>
      </c>
      <c r="J83" s="1">
        <v>-493289000</v>
      </c>
      <c r="K83" s="1">
        <v>-693861000</v>
      </c>
      <c r="L83" s="1">
        <v>-496603000</v>
      </c>
      <c r="M83" s="1">
        <v>57951000</v>
      </c>
      <c r="N83" s="1">
        <v>-349000000</v>
      </c>
      <c r="O83" s="1">
        <v>184000000</v>
      </c>
      <c r="P83" s="1">
        <v>518000000</v>
      </c>
      <c r="Q83" s="1">
        <v>-3170000000</v>
      </c>
    </row>
    <row r="84" spans="1:25" ht="21" x14ac:dyDescent="0.25">
      <c r="A84" s="5" t="s">
        <v>70</v>
      </c>
      <c r="B84" s="1">
        <v>-59000</v>
      </c>
      <c r="C84" s="1">
        <v>-3261000</v>
      </c>
      <c r="D84" s="1">
        <v>-168000</v>
      </c>
      <c r="E84" s="1">
        <v>-3222000</v>
      </c>
      <c r="F84" s="1">
        <v>-2829000</v>
      </c>
      <c r="G84" s="1">
        <v>-17303000</v>
      </c>
      <c r="H84" s="1">
        <v>-21917000</v>
      </c>
      <c r="I84" s="1">
        <v>-183658000</v>
      </c>
      <c r="J84" s="1">
        <v>46267000</v>
      </c>
      <c r="K84" s="1">
        <v>-216565000</v>
      </c>
      <c r="L84" s="1">
        <v>-24635000</v>
      </c>
      <c r="M84" s="1">
        <v>-496732000</v>
      </c>
      <c r="N84" s="1">
        <v>-367000000</v>
      </c>
      <c r="O84" s="1">
        <v>-652000000</v>
      </c>
      <c r="P84" s="1">
        <v>-130000000</v>
      </c>
      <c r="Q84" s="1">
        <v>-1124000000</v>
      </c>
      <c r="X84" s="68" t="s">
        <v>126</v>
      </c>
      <c r="Y84" s="69"/>
    </row>
    <row r="85" spans="1:25" ht="19" x14ac:dyDescent="0.25">
      <c r="A85" s="5" t="s">
        <v>34</v>
      </c>
      <c r="B85" s="1">
        <v>-2108000</v>
      </c>
      <c r="C85" s="1">
        <v>-14542000</v>
      </c>
      <c r="D85" s="1">
        <v>-7925000</v>
      </c>
      <c r="E85" s="1">
        <v>-20115000</v>
      </c>
      <c r="F85" s="1">
        <v>-13638000</v>
      </c>
      <c r="G85" s="1">
        <v>-194726000</v>
      </c>
      <c r="H85" s="1">
        <v>-463270000</v>
      </c>
      <c r="I85" s="1">
        <v>-1050264000</v>
      </c>
      <c r="J85" s="1">
        <v>-1573860000</v>
      </c>
      <c r="K85" s="1">
        <v>-2465703000</v>
      </c>
      <c r="L85" s="1">
        <v>-178850000</v>
      </c>
      <c r="M85" s="1">
        <v>-1023264000</v>
      </c>
      <c r="N85" s="1">
        <v>-429000000</v>
      </c>
      <c r="O85" s="1">
        <v>-422000000</v>
      </c>
      <c r="P85" s="1">
        <v>-1709000000</v>
      </c>
      <c r="Q85" s="1">
        <v>-6465000000</v>
      </c>
      <c r="X85" s="66" t="s">
        <v>118</v>
      </c>
      <c r="Y85" s="67"/>
    </row>
    <row r="86" spans="1:25" ht="20" x14ac:dyDescent="0.25">
      <c r="A86" s="5" t="s">
        <v>47</v>
      </c>
      <c r="B86" s="1">
        <v>523000</v>
      </c>
      <c r="C86" s="1">
        <v>8815000</v>
      </c>
      <c r="D86" s="1">
        <v>902000</v>
      </c>
      <c r="E86" s="1">
        <v>-212000</v>
      </c>
      <c r="F86" s="1">
        <v>31859000</v>
      </c>
      <c r="G86" s="1">
        <v>187821000</v>
      </c>
      <c r="H86" s="1">
        <v>-243000</v>
      </c>
      <c r="I86" s="1">
        <v>252781000</v>
      </c>
      <c r="J86" s="1" t="s">
        <v>92</v>
      </c>
      <c r="K86" s="1" t="s">
        <v>92</v>
      </c>
      <c r="L86" s="1" t="s">
        <v>92</v>
      </c>
      <c r="M86" s="1" t="s">
        <v>92</v>
      </c>
      <c r="N86" s="1" t="s">
        <v>92</v>
      </c>
      <c r="O86" s="1" t="s">
        <v>92</v>
      </c>
      <c r="P86" s="1" t="s">
        <v>92</v>
      </c>
      <c r="Q86" s="1" t="s">
        <v>92</v>
      </c>
      <c r="X86" s="50" t="s">
        <v>119</v>
      </c>
      <c r="Y86" s="51">
        <f>Q19</f>
        <v>191000000</v>
      </c>
    </row>
    <row r="87" spans="1:25" ht="20" x14ac:dyDescent="0.25">
      <c r="A87" s="5" t="s">
        <v>71</v>
      </c>
      <c r="B87" s="1">
        <v>-64000</v>
      </c>
      <c r="C87" s="1">
        <v>5277000</v>
      </c>
      <c r="D87" s="1">
        <v>291000</v>
      </c>
      <c r="E87" s="1">
        <v>4006000</v>
      </c>
      <c r="F87" s="1">
        <v>61432000</v>
      </c>
      <c r="G87" s="1">
        <v>46530000</v>
      </c>
      <c r="H87" s="1">
        <v>292396000</v>
      </c>
      <c r="I87" s="1">
        <v>315911000</v>
      </c>
      <c r="J87" s="1">
        <v>358924000</v>
      </c>
      <c r="K87" s="1">
        <v>774791000</v>
      </c>
      <c r="L87" s="1">
        <v>623476000</v>
      </c>
      <c r="M87" s="1">
        <v>102567000</v>
      </c>
      <c r="N87" s="1">
        <v>743000000</v>
      </c>
      <c r="O87" s="1">
        <v>328000000</v>
      </c>
      <c r="P87" s="1">
        <v>979000000</v>
      </c>
      <c r="Q87" s="1" t="s">
        <v>92</v>
      </c>
      <c r="X87" s="50" t="s">
        <v>120</v>
      </c>
      <c r="Y87" s="51">
        <f>Q58</f>
        <v>1502000000</v>
      </c>
    </row>
    <row r="88" spans="1:25" ht="20" x14ac:dyDescent="0.25">
      <c r="A88" s="5" t="s">
        <v>72</v>
      </c>
      <c r="B88" s="1">
        <v>2385000</v>
      </c>
      <c r="C88" s="1">
        <v>5247000</v>
      </c>
      <c r="D88" s="1">
        <v>4084000</v>
      </c>
      <c r="E88" s="1">
        <v>5907000</v>
      </c>
      <c r="F88" s="1">
        <v>4812000</v>
      </c>
      <c r="G88" s="1">
        <v>8343000</v>
      </c>
      <c r="H88" s="1">
        <v>20193000</v>
      </c>
      <c r="I88" s="1">
        <v>105101000</v>
      </c>
      <c r="J88" s="1">
        <v>236864000</v>
      </c>
      <c r="K88" s="1">
        <v>61754000</v>
      </c>
      <c r="L88" s="1">
        <v>573764000</v>
      </c>
      <c r="M88" s="1">
        <v>452359000</v>
      </c>
      <c r="N88" s="1">
        <v>477000000</v>
      </c>
      <c r="O88" s="1">
        <v>841000000</v>
      </c>
      <c r="P88" s="1">
        <v>303000000</v>
      </c>
      <c r="Q88" s="1" t="s">
        <v>92</v>
      </c>
      <c r="X88" s="50" t="s">
        <v>121</v>
      </c>
      <c r="Y88" s="51">
        <f>Q63</f>
        <v>1597000000</v>
      </c>
    </row>
    <row r="89" spans="1:25" ht="20" x14ac:dyDescent="0.25">
      <c r="A89" s="6" t="s">
        <v>73</v>
      </c>
      <c r="B89" s="10">
        <v>-53469000</v>
      </c>
      <c r="C89" s="10">
        <v>-52412000</v>
      </c>
      <c r="D89" s="10">
        <v>-80825000</v>
      </c>
      <c r="E89" s="10">
        <v>-127817000</v>
      </c>
      <c r="F89" s="10">
        <v>-114364000</v>
      </c>
      <c r="G89" s="10">
        <v>-266081000</v>
      </c>
      <c r="H89" s="10">
        <v>257994000</v>
      </c>
      <c r="I89" s="10">
        <v>-57337000</v>
      </c>
      <c r="J89" s="10">
        <v>-524499000</v>
      </c>
      <c r="K89" s="10">
        <v>-123829000</v>
      </c>
      <c r="L89" s="10">
        <v>-60654000</v>
      </c>
      <c r="M89" s="10">
        <v>2097802000</v>
      </c>
      <c r="N89" s="10">
        <v>2405000000</v>
      </c>
      <c r="O89" s="10">
        <v>5943000000</v>
      </c>
      <c r="P89" s="10">
        <v>11497000000</v>
      </c>
      <c r="Q89" s="10">
        <v>14724000000</v>
      </c>
      <c r="X89" s="52" t="s">
        <v>122</v>
      </c>
      <c r="Y89" s="53">
        <f>Y86/(Y87+Y88)</f>
        <v>6.1632784769280413E-2</v>
      </c>
    </row>
    <row r="90" spans="1:25" ht="21" customHeight="1" x14ac:dyDescent="0.25">
      <c r="A90" s="5" t="s">
        <v>74</v>
      </c>
      <c r="B90" s="1">
        <v>-9802000</v>
      </c>
      <c r="C90" s="1">
        <v>-9630000</v>
      </c>
      <c r="D90" s="1">
        <v>-11884000</v>
      </c>
      <c r="E90" s="1">
        <v>-40203000</v>
      </c>
      <c r="F90" s="1">
        <v>-197896000</v>
      </c>
      <c r="G90" s="1">
        <v>-239228000</v>
      </c>
      <c r="H90" s="1">
        <v>-264224000</v>
      </c>
      <c r="I90" s="1">
        <v>-969885000</v>
      </c>
      <c r="J90" s="1">
        <v>-1634850000</v>
      </c>
      <c r="K90" s="1">
        <v>-1440471000</v>
      </c>
      <c r="L90" s="1">
        <v>-4081354000</v>
      </c>
      <c r="M90" s="1">
        <v>-2319516000</v>
      </c>
      <c r="N90" s="1">
        <v>-1432000000</v>
      </c>
      <c r="O90" s="1">
        <v>-3232000000</v>
      </c>
      <c r="P90" s="1">
        <v>-6514000000</v>
      </c>
      <c r="Q90" s="1">
        <v>-7163000000</v>
      </c>
      <c r="X90" s="50" t="s">
        <v>123</v>
      </c>
      <c r="Y90" s="51">
        <f>Q29</f>
        <v>1132000000</v>
      </c>
    </row>
    <row r="91" spans="1:25" ht="20" customHeight="1" x14ac:dyDescent="0.25">
      <c r="A91" s="19" t="s">
        <v>109</v>
      </c>
      <c r="B91" s="15">
        <f>(-1*B90)/B5</f>
        <v>134.27397260273972</v>
      </c>
      <c r="C91" s="15">
        <f t="shared" ref="C91:Q91" si="69">(-1*C90)/C5</f>
        <v>0.65323565323565325</v>
      </c>
      <c r="D91" s="15">
        <f t="shared" si="69"/>
        <v>0.10616117131039904</v>
      </c>
      <c r="E91" s="15">
        <f t="shared" si="69"/>
        <v>0.34436887548824779</v>
      </c>
      <c r="F91" s="15">
        <f t="shared" si="69"/>
        <v>0.96892901557955757</v>
      </c>
      <c r="G91" s="15">
        <f t="shared" si="69"/>
        <v>0.57888572700698837</v>
      </c>
      <c r="H91" s="15">
        <f t="shared" si="69"/>
        <v>0.13122648368807288</v>
      </c>
      <c r="I91" s="15">
        <f t="shared" si="69"/>
        <v>0.303244854544022</v>
      </c>
      <c r="J91" s="15">
        <f t="shared" si="69"/>
        <v>0.4040632472612008</v>
      </c>
      <c r="K91" s="15">
        <f t="shared" si="69"/>
        <v>0.2057776910492545</v>
      </c>
      <c r="L91" s="15">
        <f t="shared" si="69"/>
        <v>0.34709077520223025</v>
      </c>
      <c r="M91" s="15">
        <f t="shared" si="69"/>
        <v>0.10807916848156408</v>
      </c>
      <c r="N91" s="15">
        <f t="shared" si="69"/>
        <v>5.8263487671901704E-2</v>
      </c>
      <c r="O91" s="15">
        <f t="shared" si="69"/>
        <v>0.10248604769152714</v>
      </c>
      <c r="P91" s="15">
        <f t="shared" si="69"/>
        <v>0.12102632703491073</v>
      </c>
      <c r="Q91" s="15">
        <f t="shared" si="69"/>
        <v>8.7930568854189678E-2</v>
      </c>
      <c r="X91" s="50" t="s">
        <v>19</v>
      </c>
      <c r="Y91" s="51">
        <f>Q27</f>
        <v>13719000000</v>
      </c>
    </row>
    <row r="92" spans="1:25" ht="20" x14ac:dyDescent="0.25">
      <c r="A92" s="5" t="s">
        <v>75</v>
      </c>
      <c r="B92" s="1" t="s">
        <v>92</v>
      </c>
      <c r="C92" s="1" t="s">
        <v>92</v>
      </c>
      <c r="D92" s="1" t="s">
        <v>92</v>
      </c>
      <c r="E92" s="1" t="s">
        <v>92</v>
      </c>
      <c r="F92" s="1" t="s">
        <v>92</v>
      </c>
      <c r="G92" s="1" t="s">
        <v>92</v>
      </c>
      <c r="H92" s="1" t="s">
        <v>92</v>
      </c>
      <c r="I92" s="1" t="s">
        <v>92</v>
      </c>
      <c r="J92" s="1">
        <v>-12260000</v>
      </c>
      <c r="K92" s="1">
        <v>213523000</v>
      </c>
      <c r="L92" s="1">
        <v>-114523000</v>
      </c>
      <c r="M92" s="1">
        <v>-17912000</v>
      </c>
      <c r="N92" s="1">
        <v>-45000000</v>
      </c>
      <c r="O92" s="1">
        <v>-13000000</v>
      </c>
      <c r="P92" s="1" t="s">
        <v>92</v>
      </c>
      <c r="Q92" s="1" t="s">
        <v>92</v>
      </c>
      <c r="X92" s="52" t="s">
        <v>124</v>
      </c>
      <c r="Y92" s="53">
        <f>Y90/Y91</f>
        <v>8.2513302718857054E-2</v>
      </c>
    </row>
    <row r="93" spans="1:25" ht="20" x14ac:dyDescent="0.25">
      <c r="A93" s="5" t="s">
        <v>76</v>
      </c>
      <c r="B93" s="1" t="s">
        <v>92</v>
      </c>
      <c r="C93" s="1" t="s">
        <v>92</v>
      </c>
      <c r="D93" s="1" t="s">
        <v>92</v>
      </c>
      <c r="E93" s="1" t="s">
        <v>92</v>
      </c>
      <c r="F93" s="1">
        <v>-64952000</v>
      </c>
      <c r="G93" s="1">
        <v>-14992000</v>
      </c>
      <c r="H93" s="1" t="s">
        <v>92</v>
      </c>
      <c r="I93" s="1">
        <v>-205841000</v>
      </c>
      <c r="J93" s="1" t="s">
        <v>92</v>
      </c>
      <c r="K93" s="1" t="s">
        <v>92</v>
      </c>
      <c r="L93" s="1" t="s">
        <v>92</v>
      </c>
      <c r="M93" s="1" t="s">
        <v>92</v>
      </c>
      <c r="N93" s="1" t="s">
        <v>92</v>
      </c>
      <c r="O93" s="1" t="s">
        <v>92</v>
      </c>
      <c r="P93" s="1">
        <v>-132000000</v>
      </c>
      <c r="Q93" s="1">
        <v>-5835000000</v>
      </c>
      <c r="X93" s="54" t="s">
        <v>125</v>
      </c>
      <c r="Y93" s="55">
        <f>Y89*(1-Y92)</f>
        <v>5.6547260142206617E-2</v>
      </c>
    </row>
    <row r="94" spans="1:25" ht="19" customHeight="1" x14ac:dyDescent="0.25">
      <c r="A94" s="5" t="s">
        <v>77</v>
      </c>
      <c r="B94" s="1" t="s">
        <v>92</v>
      </c>
      <c r="C94" s="1" t="s">
        <v>92</v>
      </c>
      <c r="D94" s="1" t="s">
        <v>92</v>
      </c>
      <c r="E94" s="1" t="s">
        <v>92</v>
      </c>
      <c r="F94" s="1">
        <v>40000000</v>
      </c>
      <c r="G94" s="1">
        <v>40000000</v>
      </c>
      <c r="H94" s="1" t="s">
        <v>92</v>
      </c>
      <c r="I94" s="1">
        <v>189131000</v>
      </c>
      <c r="J94" s="1" t="s">
        <v>92</v>
      </c>
      <c r="K94" s="1">
        <v>16667000</v>
      </c>
      <c r="L94" s="1" t="s">
        <v>92</v>
      </c>
      <c r="M94" s="1" t="s">
        <v>92</v>
      </c>
      <c r="N94" s="1" t="s">
        <v>92</v>
      </c>
      <c r="O94" s="1" t="s">
        <v>92</v>
      </c>
      <c r="P94" s="1" t="s">
        <v>92</v>
      </c>
      <c r="Q94" s="1">
        <v>22000000</v>
      </c>
      <c r="X94" s="66" t="s">
        <v>127</v>
      </c>
      <c r="Y94" s="67"/>
    </row>
    <row r="95" spans="1:25" ht="20" x14ac:dyDescent="0.25">
      <c r="A95" s="5" t="s">
        <v>78</v>
      </c>
      <c r="B95" s="1">
        <v>40000</v>
      </c>
      <c r="C95" s="1">
        <v>-960000</v>
      </c>
      <c r="D95" s="1">
        <v>-2360000</v>
      </c>
      <c r="E95" s="1">
        <v>-140094000</v>
      </c>
      <c r="F95" s="1">
        <v>46920000</v>
      </c>
      <c r="G95" s="1">
        <v>7290000</v>
      </c>
      <c r="H95" s="1">
        <v>14807000</v>
      </c>
      <c r="I95" s="1">
        <v>-3849000</v>
      </c>
      <c r="J95" s="1">
        <v>-26441000</v>
      </c>
      <c r="K95" s="1">
        <v>-206149000</v>
      </c>
      <c r="L95" s="1">
        <v>-223090000</v>
      </c>
      <c r="M95" s="1" t="s">
        <v>92</v>
      </c>
      <c r="N95" s="1">
        <v>41000000</v>
      </c>
      <c r="O95" s="1">
        <v>113000000</v>
      </c>
      <c r="P95" s="1">
        <v>-1222000000</v>
      </c>
      <c r="Q95" s="1">
        <v>1003000000</v>
      </c>
      <c r="X95" s="50" t="s">
        <v>128</v>
      </c>
      <c r="Y95" s="56">
        <v>4.095E-2</v>
      </c>
    </row>
    <row r="96" spans="1:25" ht="20" x14ac:dyDescent="0.25">
      <c r="A96" s="6" t="s">
        <v>79</v>
      </c>
      <c r="B96" s="10">
        <v>-9762000</v>
      </c>
      <c r="C96" s="10">
        <v>-10590000</v>
      </c>
      <c r="D96" s="10">
        <v>-14244000</v>
      </c>
      <c r="E96" s="10">
        <v>-180297000</v>
      </c>
      <c r="F96" s="10">
        <v>-175928000</v>
      </c>
      <c r="G96" s="10">
        <v>-206930000</v>
      </c>
      <c r="H96" s="10">
        <v>-249417000</v>
      </c>
      <c r="I96" s="10">
        <v>-990444000</v>
      </c>
      <c r="J96" s="10">
        <v>-1673551000</v>
      </c>
      <c r="K96" s="10">
        <v>-1416430000</v>
      </c>
      <c r="L96" s="10">
        <v>-4418967000</v>
      </c>
      <c r="M96" s="10">
        <v>-2337428000</v>
      </c>
      <c r="N96" s="10">
        <v>-1436000000</v>
      </c>
      <c r="O96" s="10">
        <v>-3132000000</v>
      </c>
      <c r="P96" s="10">
        <v>-7868000000</v>
      </c>
      <c r="Q96" s="10">
        <v>-11973000000</v>
      </c>
      <c r="X96" s="50" t="s">
        <v>129</v>
      </c>
      <c r="Y96" s="57" cm="1">
        <f t="array" ref="Y96">_FV(A1,"Beta")</f>
        <v>2.0164</v>
      </c>
    </row>
    <row r="97" spans="1:25" ht="20" x14ac:dyDescent="0.25">
      <c r="A97" s="5" t="s">
        <v>80</v>
      </c>
      <c r="B97" s="1" t="s">
        <v>92</v>
      </c>
      <c r="C97" s="1">
        <v>-191000</v>
      </c>
      <c r="D97" s="1">
        <v>-322000</v>
      </c>
      <c r="E97" s="1">
        <v>-315000</v>
      </c>
      <c r="F97" s="1">
        <v>-416000</v>
      </c>
      <c r="G97" s="1">
        <v>-15542000</v>
      </c>
      <c r="H97" s="1">
        <v>-460762000</v>
      </c>
      <c r="I97" s="1">
        <v>-11179000</v>
      </c>
      <c r="J97" s="1">
        <v>-203780000</v>
      </c>
      <c r="K97" s="1">
        <v>-1904483000</v>
      </c>
      <c r="L97" s="1">
        <v>-4263788000</v>
      </c>
      <c r="M97" s="1">
        <v>-6087029000</v>
      </c>
      <c r="N97" s="1">
        <v>-9871000000</v>
      </c>
      <c r="O97" s="1">
        <v>-12201000000</v>
      </c>
      <c r="P97" s="1">
        <v>-14615000000</v>
      </c>
      <c r="Q97" s="1">
        <v>-3866000000</v>
      </c>
      <c r="X97" s="50" t="s">
        <v>130</v>
      </c>
      <c r="Y97" s="56">
        <v>8.4000000000000005E-2</v>
      </c>
    </row>
    <row r="98" spans="1:25" ht="20" x14ac:dyDescent="0.25">
      <c r="A98" s="5" t="s">
        <v>81</v>
      </c>
      <c r="B98" s="1" t="s">
        <v>92</v>
      </c>
      <c r="C98" s="1">
        <v>21000</v>
      </c>
      <c r="D98" s="1" t="s">
        <v>92</v>
      </c>
      <c r="E98" s="1">
        <v>268842000</v>
      </c>
      <c r="F98" s="1">
        <v>231468000</v>
      </c>
      <c r="G98" s="1">
        <v>221496000</v>
      </c>
      <c r="H98" s="1">
        <v>415000000</v>
      </c>
      <c r="I98" s="1" t="s">
        <v>92</v>
      </c>
      <c r="J98" s="1">
        <v>750000000</v>
      </c>
      <c r="K98" s="1">
        <v>1701734000</v>
      </c>
      <c r="L98" s="1">
        <v>400175000</v>
      </c>
      <c r="M98" s="1" t="s">
        <v>92</v>
      </c>
      <c r="N98" s="1">
        <v>848000000</v>
      </c>
      <c r="O98" s="1">
        <v>12269000000</v>
      </c>
      <c r="P98" s="1" t="s">
        <v>92</v>
      </c>
      <c r="Q98" s="1" t="s">
        <v>92</v>
      </c>
      <c r="X98" s="54" t="s">
        <v>131</v>
      </c>
      <c r="Y98" s="55">
        <f>(Y95)+((Y96)*(Y97-Y95))</f>
        <v>0.12775602000000003</v>
      </c>
    </row>
    <row r="99" spans="1:25" ht="19" customHeight="1" x14ac:dyDescent="0.25">
      <c r="A99" s="5" t="s">
        <v>82</v>
      </c>
      <c r="B99" s="20">
        <v>0</v>
      </c>
      <c r="C99" s="20">
        <v>0</v>
      </c>
      <c r="D99" s="20">
        <v>0</v>
      </c>
      <c r="E99" s="20">
        <v>0</v>
      </c>
      <c r="F99" s="20">
        <v>0</v>
      </c>
      <c r="G99" s="20">
        <v>0</v>
      </c>
      <c r="H99" s="20">
        <v>0</v>
      </c>
      <c r="I99" s="20">
        <v>0</v>
      </c>
      <c r="J99" s="20">
        <v>0</v>
      </c>
      <c r="K99" s="20">
        <v>0</v>
      </c>
      <c r="L99" s="20">
        <v>0</v>
      </c>
      <c r="M99" s="20">
        <v>0</v>
      </c>
      <c r="N99" s="20">
        <v>0</v>
      </c>
      <c r="O99" s="20">
        <v>0</v>
      </c>
      <c r="P99" s="20">
        <v>0</v>
      </c>
      <c r="Q99" s="20">
        <v>0</v>
      </c>
      <c r="X99" s="66" t="s">
        <v>138</v>
      </c>
      <c r="Y99" s="67"/>
    </row>
    <row r="100" spans="1:25" ht="20" x14ac:dyDescent="0.25">
      <c r="A100" s="5" t="s">
        <v>83</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X100" s="50" t="s">
        <v>132</v>
      </c>
      <c r="Y100" s="51">
        <f>Y87+Y88</f>
        <v>3099000000</v>
      </c>
    </row>
    <row r="101" spans="1:25" ht="20" x14ac:dyDescent="0.25">
      <c r="A101" s="5" t="s">
        <v>84</v>
      </c>
      <c r="B101" s="1">
        <v>45041000</v>
      </c>
      <c r="C101" s="1">
        <v>55238000</v>
      </c>
      <c r="D101" s="1">
        <v>155741000</v>
      </c>
      <c r="E101" s="1">
        <v>69518000</v>
      </c>
      <c r="F101" s="1">
        <v>214948000</v>
      </c>
      <c r="G101" s="1">
        <v>213681000</v>
      </c>
      <c r="H101" s="1">
        <v>681184000</v>
      </c>
      <c r="I101" s="1">
        <v>2154309000</v>
      </c>
      <c r="J101" s="1">
        <v>977303000</v>
      </c>
      <c r="K101" s="1">
        <v>3946725000</v>
      </c>
      <c r="L101" s="1">
        <v>8278477000</v>
      </c>
      <c r="M101" s="1">
        <v>6660784000</v>
      </c>
      <c r="N101" s="1">
        <v>10552000000</v>
      </c>
      <c r="O101" s="1">
        <v>9905000000</v>
      </c>
      <c r="P101" s="1">
        <v>9412000000</v>
      </c>
      <c r="Q101" s="1">
        <v>339000000</v>
      </c>
      <c r="X101" s="52" t="s">
        <v>135</v>
      </c>
      <c r="Y101" s="53">
        <f>Y100/Y104</f>
        <v>5.8883952441375412E-3</v>
      </c>
    </row>
    <row r="102" spans="1:25" ht="20" x14ac:dyDescent="0.25">
      <c r="A102" s="6" t="s">
        <v>85</v>
      </c>
      <c r="B102" s="10">
        <v>45041000</v>
      </c>
      <c r="C102" s="10">
        <v>55068000</v>
      </c>
      <c r="D102" s="10">
        <v>155419000</v>
      </c>
      <c r="E102" s="10">
        <v>338045000</v>
      </c>
      <c r="F102" s="10">
        <v>446000000</v>
      </c>
      <c r="G102" s="10">
        <v>419635000</v>
      </c>
      <c r="H102" s="10">
        <v>635422000</v>
      </c>
      <c r="I102" s="10">
        <v>2143130000</v>
      </c>
      <c r="J102" s="10">
        <v>1523523000</v>
      </c>
      <c r="K102" s="10">
        <v>3743976000</v>
      </c>
      <c r="L102" s="10">
        <v>4414864000</v>
      </c>
      <c r="M102" s="10">
        <v>573755000</v>
      </c>
      <c r="N102" s="10">
        <v>1529000000</v>
      </c>
      <c r="O102" s="10">
        <v>9973000000</v>
      </c>
      <c r="P102" s="10">
        <v>-5203000000</v>
      </c>
      <c r="Q102" s="10">
        <v>-3527000000</v>
      </c>
      <c r="X102" s="50" t="s">
        <v>133</v>
      </c>
      <c r="Y102" s="37" cm="1">
        <f t="array" ref="Y102">+_FV(A1,"Market cap",TRUE)</f>
        <v>523190400000</v>
      </c>
    </row>
    <row r="103" spans="1:25" ht="20" x14ac:dyDescent="0.25">
      <c r="A103" s="5" t="s">
        <v>86</v>
      </c>
      <c r="B103" s="1" t="s">
        <v>92</v>
      </c>
      <c r="C103" s="1" t="s">
        <v>92</v>
      </c>
      <c r="D103" s="1" t="s">
        <v>92</v>
      </c>
      <c r="E103" s="1" t="s">
        <v>92</v>
      </c>
      <c r="F103" s="1" t="s">
        <v>92</v>
      </c>
      <c r="G103" s="1" t="s">
        <v>92</v>
      </c>
      <c r="H103" s="1" t="s">
        <v>92</v>
      </c>
      <c r="I103" s="1">
        <v>-35525000</v>
      </c>
      <c r="J103" s="1">
        <v>-34278000</v>
      </c>
      <c r="K103" s="1">
        <v>-7409000</v>
      </c>
      <c r="L103" s="1">
        <v>39455000</v>
      </c>
      <c r="M103" s="1">
        <v>-22700000</v>
      </c>
      <c r="N103" s="1">
        <v>8000000</v>
      </c>
      <c r="O103" s="1">
        <v>334000000</v>
      </c>
      <c r="P103" s="1">
        <v>-183000000</v>
      </c>
      <c r="Q103" s="1">
        <v>-444000000</v>
      </c>
      <c r="X103" s="52" t="s">
        <v>136</v>
      </c>
      <c r="Y103" s="53">
        <f>Y102/Y104</f>
        <v>0.99411160475586247</v>
      </c>
    </row>
    <row r="104" spans="1:25" ht="20" x14ac:dyDescent="0.25">
      <c r="A104" s="6" t="s">
        <v>87</v>
      </c>
      <c r="B104" s="10">
        <v>-18190000</v>
      </c>
      <c r="C104" s="10">
        <v>-7934000</v>
      </c>
      <c r="D104" s="10">
        <v>60350000</v>
      </c>
      <c r="E104" s="10">
        <v>29931000</v>
      </c>
      <c r="F104" s="10">
        <v>155708000</v>
      </c>
      <c r="G104" s="10">
        <v>-53376000</v>
      </c>
      <c r="H104" s="10">
        <v>643999000</v>
      </c>
      <c r="I104" s="10">
        <v>1059824000</v>
      </c>
      <c r="J104" s="10">
        <v>-708805000</v>
      </c>
      <c r="K104" s="10">
        <v>2196308000</v>
      </c>
      <c r="L104" s="10">
        <v>-25302000</v>
      </c>
      <c r="M104" s="10">
        <v>311429000</v>
      </c>
      <c r="N104" s="10">
        <v>2506000000</v>
      </c>
      <c r="O104" s="10">
        <v>13118000000</v>
      </c>
      <c r="P104" s="10">
        <v>-1757000000</v>
      </c>
      <c r="Q104" s="10">
        <v>-1220000000</v>
      </c>
      <c r="X104" s="54" t="s">
        <v>134</v>
      </c>
      <c r="Y104" s="58">
        <f>Y100+Y102</f>
        <v>526289400000</v>
      </c>
    </row>
    <row r="105" spans="1:25" ht="19" x14ac:dyDescent="0.25">
      <c r="A105" s="5" t="s">
        <v>88</v>
      </c>
      <c r="B105" s="1">
        <v>35401000</v>
      </c>
      <c r="C105" s="1">
        <v>17211000</v>
      </c>
      <c r="D105" s="1">
        <v>9277000</v>
      </c>
      <c r="E105" s="1">
        <v>69627000</v>
      </c>
      <c r="F105" s="1">
        <v>99558000</v>
      </c>
      <c r="G105" s="1">
        <v>255266000</v>
      </c>
      <c r="H105" s="1">
        <v>201890000</v>
      </c>
      <c r="I105" s="1">
        <v>845889000</v>
      </c>
      <c r="J105" s="1">
        <v>1905713000</v>
      </c>
      <c r="K105" s="1">
        <v>1196908000</v>
      </c>
      <c r="L105" s="1">
        <v>3393216000</v>
      </c>
      <c r="M105" s="1">
        <v>3964959000</v>
      </c>
      <c r="N105" s="1">
        <v>4277000000</v>
      </c>
      <c r="O105" s="1">
        <v>6783000000</v>
      </c>
      <c r="P105" s="1">
        <v>19901000000</v>
      </c>
      <c r="Q105" s="1">
        <v>18144000000</v>
      </c>
      <c r="X105" s="66" t="s">
        <v>137</v>
      </c>
      <c r="Y105" s="67"/>
    </row>
    <row r="106" spans="1:25" ht="21" thickBot="1" x14ac:dyDescent="0.3">
      <c r="A106" s="7" t="s">
        <v>89</v>
      </c>
      <c r="B106" s="11">
        <v>17211000</v>
      </c>
      <c r="C106" s="11">
        <v>9277000</v>
      </c>
      <c r="D106" s="11">
        <v>69627000</v>
      </c>
      <c r="E106" s="11">
        <v>99558000</v>
      </c>
      <c r="F106" s="11">
        <v>255266000</v>
      </c>
      <c r="G106" s="11">
        <v>201890000</v>
      </c>
      <c r="H106" s="11">
        <v>845889000</v>
      </c>
      <c r="I106" s="11">
        <v>1905713000</v>
      </c>
      <c r="J106" s="11">
        <v>1196908000</v>
      </c>
      <c r="K106" s="11">
        <v>3393216000</v>
      </c>
      <c r="L106" s="11">
        <v>3367914000</v>
      </c>
      <c r="M106" s="11">
        <v>4276388000</v>
      </c>
      <c r="N106" s="11">
        <v>6783000000</v>
      </c>
      <c r="O106" s="11">
        <v>19901000000</v>
      </c>
      <c r="P106" s="11">
        <v>18144000000</v>
      </c>
      <c r="Q106" s="11">
        <v>16924000000</v>
      </c>
      <c r="X106" s="22" t="s">
        <v>126</v>
      </c>
      <c r="Y106" s="21">
        <f>(Y101*Y93)+(Y103*Y98)</f>
        <v>0.12733671467711247</v>
      </c>
    </row>
    <row r="107" spans="1:25" ht="20" thickTop="1" x14ac:dyDescent="0.25">
      <c r="A107" s="19" t="s">
        <v>97</v>
      </c>
      <c r="B107" s="1"/>
      <c r="C107" s="15">
        <f t="shared" ref="C107:Q107" si="70">(C108/B108)-1</f>
        <v>-1.9424380837982591E-2</v>
      </c>
      <c r="D107" s="15">
        <f t="shared" si="70"/>
        <v>0.49429418780825896</v>
      </c>
      <c r="E107" s="15">
        <f t="shared" si="70"/>
        <v>0.81233752925821667</v>
      </c>
      <c r="F107" s="15">
        <f t="shared" si="70"/>
        <v>0.85846922985358876</v>
      </c>
      <c r="G107" s="15">
        <f t="shared" si="70"/>
        <v>0.61823160187023629</v>
      </c>
      <c r="H107" s="15">
        <f t="shared" si="70"/>
        <v>-0.98767091027470322</v>
      </c>
      <c r="I107" s="15">
        <f t="shared" si="70"/>
        <v>163.88314606741574</v>
      </c>
      <c r="J107" s="15">
        <f t="shared" si="70"/>
        <v>1.1021249544889029</v>
      </c>
      <c r="K107" s="15">
        <f t="shared" si="70"/>
        <v>-0.27556870149290369</v>
      </c>
      <c r="L107" s="15">
        <f t="shared" si="70"/>
        <v>1.6478348142939332</v>
      </c>
      <c r="M107" s="15">
        <f t="shared" si="70"/>
        <v>-0.94647185616251828</v>
      </c>
      <c r="N107" s="15">
        <f t="shared" si="70"/>
        <v>-5.3659850077126388</v>
      </c>
      <c r="O107" s="15">
        <f t="shared" si="70"/>
        <v>1.790289256198347</v>
      </c>
      <c r="P107" s="15">
        <f t="shared" si="70"/>
        <v>0.28952239911144018</v>
      </c>
      <c r="Q107" s="15">
        <f t="shared" si="70"/>
        <v>1.1708297444731555</v>
      </c>
      <c r="R107" s="15"/>
      <c r="S107" s="15"/>
      <c r="T107" s="15"/>
      <c r="U107" s="15"/>
      <c r="V107" s="15"/>
      <c r="W107" s="15"/>
      <c r="X107" s="62" t="s">
        <v>141</v>
      </c>
      <c r="Y107" s="63"/>
    </row>
    <row r="108" spans="1:25" ht="19" x14ac:dyDescent="0.25">
      <c r="A108" s="5" t="s">
        <v>90</v>
      </c>
      <c r="B108" s="1">
        <v>-63271000</v>
      </c>
      <c r="C108" s="1">
        <v>-62042000</v>
      </c>
      <c r="D108" s="1">
        <v>-92709000</v>
      </c>
      <c r="E108" s="1">
        <v>-168020000</v>
      </c>
      <c r="F108" s="1">
        <v>-312260000</v>
      </c>
      <c r="G108" s="1">
        <v>-505309000</v>
      </c>
      <c r="H108" s="1">
        <v>-6230000</v>
      </c>
      <c r="I108" s="1">
        <v>-1027222000</v>
      </c>
      <c r="J108" s="1">
        <v>-2159349000</v>
      </c>
      <c r="K108" s="1">
        <v>-1564300000</v>
      </c>
      <c r="L108" s="1">
        <v>-4142008000</v>
      </c>
      <c r="M108" s="1">
        <v>-221714000</v>
      </c>
      <c r="N108" s="1">
        <v>968000000</v>
      </c>
      <c r="O108" s="1">
        <v>2701000000</v>
      </c>
      <c r="P108" s="1">
        <v>3483000000</v>
      </c>
      <c r="Q108" s="1">
        <v>7561000000</v>
      </c>
      <c r="R108" s="26">
        <f>Q108*(1+$Y$108)</f>
        <v>9160758758.0140381</v>
      </c>
      <c r="S108" s="26">
        <f t="shared" ref="S108:V108" si="71">R108*(1+$Y$108)</f>
        <v>11098994977.189644</v>
      </c>
      <c r="T108" s="26">
        <f t="shared" si="71"/>
        <v>13447323825.214106</v>
      </c>
      <c r="U108" s="26">
        <f t="shared" si="71"/>
        <v>16292512829.477709</v>
      </c>
      <c r="V108" s="26">
        <f t="shared" si="71"/>
        <v>19739687818.105278</v>
      </c>
      <c r="W108" s="27" t="s">
        <v>142</v>
      </c>
      <c r="X108" s="28" t="s">
        <v>143</v>
      </c>
      <c r="Y108" s="29">
        <f>(SUM(R6:V6)/5)</f>
        <v>0.21158031451051951</v>
      </c>
    </row>
    <row r="109" spans="1:25" ht="20" customHeight="1" x14ac:dyDescent="0.25">
      <c r="R109" s="27"/>
      <c r="S109" s="27"/>
      <c r="T109" s="27"/>
      <c r="U109" s="27"/>
      <c r="V109" s="30">
        <f>V108*(1+Y109)/(Y110-Y109)</f>
        <v>197711838584.97504</v>
      </c>
      <c r="W109" s="31" t="s">
        <v>144</v>
      </c>
      <c r="X109" s="32" t="s">
        <v>145</v>
      </c>
      <c r="Y109" s="33">
        <v>2.5000000000000001E-2</v>
      </c>
    </row>
    <row r="110" spans="1:25" ht="19" x14ac:dyDescent="0.25">
      <c r="R110" s="30">
        <f t="shared" ref="R110:T110" si="72">R109+R108</f>
        <v>9160758758.0140381</v>
      </c>
      <c r="S110" s="30">
        <f t="shared" si="72"/>
        <v>11098994977.189644</v>
      </c>
      <c r="T110" s="30">
        <f t="shared" si="72"/>
        <v>13447323825.214106</v>
      </c>
      <c r="U110" s="30">
        <f>U109+U108</f>
        <v>16292512829.477709</v>
      </c>
      <c r="V110" s="30">
        <f>V109+V108</f>
        <v>217451526403.08032</v>
      </c>
      <c r="W110" s="31" t="s">
        <v>134</v>
      </c>
      <c r="X110" s="34" t="s">
        <v>146</v>
      </c>
      <c r="Y110" s="35">
        <f>Y106</f>
        <v>0.12733671467711247</v>
      </c>
    </row>
    <row r="111" spans="1:25" ht="19" x14ac:dyDescent="0.25">
      <c r="R111" s="64" t="s">
        <v>147</v>
      </c>
      <c r="S111" s="65"/>
    </row>
    <row r="112" spans="1:25" ht="20" x14ac:dyDescent="0.25">
      <c r="R112" s="36" t="s">
        <v>148</v>
      </c>
      <c r="S112" s="37">
        <f>NPV(Y110,R110,S110,T110,U110,V110)</f>
        <v>155757134062.43439</v>
      </c>
    </row>
    <row r="113" spans="18:19" ht="20" x14ac:dyDescent="0.25">
      <c r="R113" s="36" t="s">
        <v>149</v>
      </c>
      <c r="S113" s="37">
        <f>Q42</f>
        <v>22185000000</v>
      </c>
    </row>
    <row r="114" spans="18:19" ht="20" x14ac:dyDescent="0.25">
      <c r="R114" s="36" t="s">
        <v>132</v>
      </c>
      <c r="S114" s="37">
        <f>Y100</f>
        <v>3099000000</v>
      </c>
    </row>
    <row r="115" spans="18:19" ht="20" x14ac:dyDescent="0.25">
      <c r="R115" s="36" t="s">
        <v>150</v>
      </c>
      <c r="S115" s="37">
        <f>S112+S113-S114</f>
        <v>174843134062.43439</v>
      </c>
    </row>
    <row r="116" spans="18:19" ht="20" x14ac:dyDescent="0.25">
      <c r="R116" s="36" t="s">
        <v>151</v>
      </c>
      <c r="S116" s="49">
        <f>Q36*(1+(5*W18))</f>
        <v>4496300737.147871</v>
      </c>
    </row>
    <row r="117" spans="18:19" ht="20" x14ac:dyDescent="0.25">
      <c r="R117" s="38" t="s">
        <v>152</v>
      </c>
      <c r="S117" s="60">
        <f>S115/S116</f>
        <v>38.885996352046121</v>
      </c>
    </row>
    <row r="118" spans="18:19" ht="20" x14ac:dyDescent="0.25">
      <c r="R118" s="36" t="s">
        <v>153</v>
      </c>
      <c r="S118" s="59" cm="1">
        <f t="array" ref="S118">_FV(A1,"Price",TRUE)</f>
        <v>165.08</v>
      </c>
    </row>
    <row r="119" spans="18:19" ht="20" x14ac:dyDescent="0.25">
      <c r="R119" s="39" t="s">
        <v>154</v>
      </c>
      <c r="S119" s="40">
        <f>S117/S118-1</f>
        <v>-0.76444150501547059</v>
      </c>
    </row>
    <row r="120" spans="18:19" ht="20" x14ac:dyDescent="0.25">
      <c r="R120" s="39" t="s">
        <v>155</v>
      </c>
      <c r="S120" s="41" t="str">
        <f>IF(S117&gt;S118,"BUY","SELL")</f>
        <v>SELL</v>
      </c>
    </row>
  </sheetData>
  <mergeCells count="7">
    <mergeCell ref="X107:Y107"/>
    <mergeCell ref="R111:S111"/>
    <mergeCell ref="X85:Y85"/>
    <mergeCell ref="X84:Y84"/>
    <mergeCell ref="X94:Y94"/>
    <mergeCell ref="X99:Y99"/>
    <mergeCell ref="X105:Y105"/>
  </mergeCells>
  <hyperlinks>
    <hyperlink ref="A1" r:id="rId1" tooltip="https://roic.ai/company/TSLA" display="ROIC.AI | TSLA" xr:uid="{00000000-0004-0000-0000-000000000000}"/>
    <hyperlink ref="B38" r:id="rId2" tooltip="https://sec.gov" xr:uid="{00000000-0004-0000-0000-000001000000}"/>
    <hyperlink ref="B76" r:id="rId3" tooltip="https://sec.gov" xr:uid="{00000000-0004-0000-0000-000002000000}"/>
    <hyperlink ref="C38" r:id="rId4" tooltip="https://sec.gov" xr:uid="{00000000-0004-0000-0000-000004000000}"/>
    <hyperlink ref="C76" r:id="rId5" tooltip="https://sec.gov" xr:uid="{00000000-0004-0000-0000-000005000000}"/>
    <hyperlink ref="D38" r:id="rId6" tooltip="https://sec.gov" xr:uid="{00000000-0004-0000-0000-000007000000}"/>
    <hyperlink ref="D76" r:id="rId7" tooltip="https://sec.gov" xr:uid="{00000000-0004-0000-0000-000008000000}"/>
    <hyperlink ref="E38" r:id="rId8" tooltip="https://www.sec.gov/Archives/edgar/data/1318605/000119312511054847/0001193125-11-054847-index.htm" xr:uid="{00000000-0004-0000-0000-00000A000000}"/>
    <hyperlink ref="E76" r:id="rId9" tooltip="https://www.sec.gov/Archives/edgar/data/1318605/000119312511054847/0001193125-11-054847-index.htm" xr:uid="{00000000-0004-0000-0000-00000B000000}"/>
    <hyperlink ref="F38" r:id="rId10" tooltip="https://www.sec.gov/Archives/edgar/data/1318605/000119312512081990/0001193125-12-081990-index.htm" xr:uid="{00000000-0004-0000-0000-00000D000000}"/>
    <hyperlink ref="F76" r:id="rId11" tooltip="https://www.sec.gov/Archives/edgar/data/1318605/000119312512081990/0001193125-12-081990-index.htm" xr:uid="{00000000-0004-0000-0000-00000E000000}"/>
    <hyperlink ref="G38" r:id="rId12" tooltip="https://www.sec.gov/Archives/edgar/data/1318605/000119312513096241/0001193125-13-096241-index.htm" xr:uid="{00000000-0004-0000-0000-000010000000}"/>
    <hyperlink ref="G76" r:id="rId13" tooltip="https://www.sec.gov/Archives/edgar/data/1318605/000119312513096241/0001193125-13-096241-index.htm" xr:uid="{00000000-0004-0000-0000-000011000000}"/>
    <hyperlink ref="H38" r:id="rId14" tooltip="https://www.sec.gov/Archives/edgar/data/1318605/000119312514069681/0001193125-14-069681-index.htm" xr:uid="{00000000-0004-0000-0000-000013000000}"/>
    <hyperlink ref="H76" r:id="rId15" tooltip="https://www.sec.gov/Archives/edgar/data/1318605/000119312514069681/0001193125-14-069681-index.htm" xr:uid="{00000000-0004-0000-0000-000014000000}"/>
    <hyperlink ref="I38" r:id="rId16" tooltip="https://www.sec.gov/Archives/edgar/data/1318605/000156459015001031/0001564590-15-001031-index.htm" xr:uid="{00000000-0004-0000-0000-000016000000}"/>
    <hyperlink ref="I76" r:id="rId17" tooltip="https://www.sec.gov/Archives/edgar/data/1318605/000156459015001031/0001564590-15-001031-index.htm" xr:uid="{00000000-0004-0000-0000-000017000000}"/>
    <hyperlink ref="J38" r:id="rId18" tooltip="https://www.sec.gov/Archives/edgar/data/1318605/000156459016013195/0001564590-16-013195-index.htm" xr:uid="{00000000-0004-0000-0000-000019000000}"/>
    <hyperlink ref="J76" r:id="rId19" tooltip="https://www.sec.gov/Archives/edgar/data/1318605/000156459016013195/0001564590-16-013195-index.htm" xr:uid="{00000000-0004-0000-0000-00001A000000}"/>
    <hyperlink ref="K38" r:id="rId20" tooltip="https://www.sec.gov/Archives/edgar/data/1318605/000156459017003118/0001564590-17-003118-index.htm" xr:uid="{00000000-0004-0000-0000-00001C000000}"/>
    <hyperlink ref="K76" r:id="rId21" tooltip="https://www.sec.gov/Archives/edgar/data/1318605/000156459017003118/0001564590-17-003118-index.htm" xr:uid="{00000000-0004-0000-0000-00001D000000}"/>
    <hyperlink ref="L38" r:id="rId22" tooltip="https://www.sec.gov/Archives/edgar/data/1318605/000156459018002956/0001564590-18-002956-index.htm" xr:uid="{00000000-0004-0000-0000-00001F000000}"/>
    <hyperlink ref="L76" r:id="rId23" tooltip="https://www.sec.gov/Archives/edgar/data/1318605/000156459018002956/0001564590-18-002956-index.htm" xr:uid="{00000000-0004-0000-0000-000020000000}"/>
    <hyperlink ref="M38" r:id="rId24" tooltip="https://www.sec.gov/Archives/edgar/data/1318605/000156459019003165/0001564590-19-003165-index.htm" xr:uid="{00000000-0004-0000-0000-000022000000}"/>
    <hyperlink ref="M76" r:id="rId25" tooltip="https://www.sec.gov/Archives/edgar/data/1318605/000156459019003165/0001564590-19-003165-index.htm" xr:uid="{00000000-0004-0000-0000-000023000000}"/>
    <hyperlink ref="N38" r:id="rId26" tooltip="https://www.sec.gov/Archives/edgar/data/1318605/000156459020004475/0001564590-20-004475-index.htm" xr:uid="{00000000-0004-0000-0000-000025000000}"/>
    <hyperlink ref="N76" r:id="rId27" tooltip="https://www.sec.gov/Archives/edgar/data/1318605/000156459020004475/0001564590-20-004475-index.htm" xr:uid="{00000000-0004-0000-0000-000026000000}"/>
    <hyperlink ref="O38" r:id="rId28" tooltip="https://www.sec.gov/Archives/edgar/data/1318605/000156459021004599/0001564590-21-004599-index.htm" xr:uid="{00000000-0004-0000-0000-000028000000}"/>
    <hyperlink ref="O76" r:id="rId29" tooltip="https://www.sec.gov/Archives/edgar/data/1318605/000156459021004599/0001564590-21-004599-index.htm" xr:uid="{00000000-0004-0000-0000-000029000000}"/>
    <hyperlink ref="P38" r:id="rId30" tooltip="https://www.sec.gov/Archives/edgar/data/1318605/000095017022000796/0000950170-22-000796-index.htm" xr:uid="{00000000-0004-0000-0000-00002B000000}"/>
    <hyperlink ref="P76" r:id="rId31" tooltip="https://www.sec.gov/Archives/edgar/data/1318605/000095017022000796/0000950170-22-000796-index.htm" xr:uid="{00000000-0004-0000-0000-00002C000000}"/>
    <hyperlink ref="Q38" r:id="rId32" tooltip="https://www.sec.gov/Archives/edgar/data/1318605/000095017023001409/0000950170-23-001409-index.htm" xr:uid="{00000000-0004-0000-0000-00002E000000}"/>
    <hyperlink ref="Q76" r:id="rId33" tooltip="https://www.sec.gov/Archives/edgar/data/1318605/000095017023001409/0000950170-23-001409-index.htm" xr:uid="{00000000-0004-0000-0000-00002F000000}"/>
    <hyperlink ref="R1" r:id="rId34" display="https://finbox.com/NASDAQGS:TSLA/explorer/revenue_proj" xr:uid="{3BB34DC7-FA61-5D45-B17B-00CAD693BF05}"/>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2023-01-31T20:40:31Z</dcterms:created>
  <dcterms:modified xsi:type="dcterms:W3CDTF">2023-04-23T08:11:13Z</dcterms:modified>
</cp:coreProperties>
</file>