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CCA6F3A-113E-7340-999A-FE6E0A9B323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6" i="1" l="1"/>
  <c r="H106" i="1" s="1"/>
  <c r="I106" i="1" s="1"/>
  <c r="J106" i="1" s="1"/>
  <c r="M85" i="1"/>
  <c r="M92" i="1" s="1"/>
  <c r="F106" i="1"/>
  <c r="G116" i="1" a="1"/>
  <c r="G116" i="1" s="1"/>
  <c r="M101" i="1" a="1"/>
  <c r="M101" i="1" s="1"/>
  <c r="M16" i="1" s="1"/>
  <c r="M86" i="1"/>
  <c r="M95" i="1" a="1"/>
  <c r="M95" i="1" s="1"/>
  <c r="M97" i="1" s="1"/>
  <c r="G114" i="1"/>
  <c r="G111" i="1"/>
  <c r="M106" i="1"/>
  <c r="M90" i="1"/>
  <c r="M89" i="1"/>
  <c r="M91" i="1" s="1"/>
  <c r="M87" i="1"/>
  <c r="M99" i="1"/>
  <c r="L16" i="1" l="1"/>
  <c r="F108" i="1"/>
  <c r="G108" i="1"/>
  <c r="M103" i="1"/>
  <c r="M102" i="1" s="1"/>
  <c r="G112" i="1"/>
  <c r="M100" i="1" l="1"/>
  <c r="M105" i="1" s="1"/>
  <c r="M108" i="1" s="1"/>
  <c r="H108" i="1"/>
  <c r="J107" i="1" l="1"/>
  <c r="J108" i="1" s="1"/>
  <c r="G110" i="1" s="1"/>
  <c r="G113" i="1" s="1"/>
  <c r="G115" i="1" s="1"/>
  <c r="I108" i="1"/>
  <c r="G117" i="1" l="1"/>
  <c r="G118" i="1"/>
  <c r="E7" i="1" l="1"/>
  <c r="K7" i="1" s="1"/>
  <c r="K16" i="1"/>
  <c r="K19" i="1"/>
  <c r="N16" i="1"/>
  <c r="N13" i="1"/>
  <c r="M13" i="1"/>
  <c r="L13" i="1"/>
  <c r="K13" i="1"/>
  <c r="N10" i="1"/>
  <c r="M10" i="1"/>
  <c r="L10" i="1"/>
  <c r="K10" i="1"/>
  <c r="N7" i="1"/>
  <c r="M7" i="1"/>
  <c r="L7" i="1"/>
  <c r="N4" i="1"/>
  <c r="M4" i="1"/>
  <c r="L4" i="1"/>
  <c r="K4" i="1"/>
  <c r="J4" i="1"/>
  <c r="I4" i="1"/>
  <c r="H4" i="1"/>
  <c r="G4" i="1"/>
  <c r="F4" i="1"/>
  <c r="C105" i="1"/>
  <c r="E89" i="1"/>
  <c r="D89" i="1"/>
  <c r="C89" i="1"/>
  <c r="B89" i="1"/>
  <c r="E80" i="1"/>
  <c r="D80" i="1"/>
  <c r="C80" i="1"/>
  <c r="B80" i="1"/>
  <c r="E35" i="1"/>
  <c r="D35" i="1"/>
  <c r="C35" i="1"/>
  <c r="E29" i="1"/>
  <c r="D29" i="1"/>
  <c r="C29" i="1"/>
  <c r="E20" i="1"/>
  <c r="D20" i="1"/>
  <c r="C20" i="1"/>
  <c r="D13" i="1"/>
  <c r="C13" i="1"/>
  <c r="B13" i="1"/>
  <c r="E9" i="1"/>
  <c r="D9" i="1"/>
  <c r="C9" i="1"/>
  <c r="B9" i="1"/>
  <c r="E4" i="1"/>
  <c r="D4" i="1"/>
  <c r="C4" i="1"/>
  <c r="D106" i="1" l="1"/>
  <c r="D105" i="1" s="1"/>
  <c r="E106" i="1"/>
  <c r="E48" i="1"/>
  <c r="E40" i="1"/>
  <c r="E32" i="1"/>
  <c r="E31" i="1"/>
  <c r="E30" i="1"/>
  <c r="E26" i="1"/>
  <c r="E23" i="1"/>
  <c r="E21" i="1"/>
  <c r="E15" i="1"/>
  <c r="E16" i="1" s="1"/>
  <c r="E12" i="1"/>
  <c r="E13" i="1" s="1"/>
  <c r="E6" i="1"/>
  <c r="E10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<sst xmlns="http://schemas.openxmlformats.org/spreadsheetml/2006/main" count="265" uniqueCount="160">
  <si>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</si>
  <si>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</si>
  <si>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</si>
  <si>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</si>
  <si>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</si>
  <si>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</si>
  <si>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</si>
  <si>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</si>
  <si>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</si>
  <si>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</si>
  <si>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</si>
  <si>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</si>
  <si>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</si>
  <si>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</si>
  <si>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</si>
  <si>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</si>
  <si>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</si>
  <si>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</si>
  <si>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</si>
  <si>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</si>
  <si>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</si>
  <si>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</si>
  <si>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</si>
  <si>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</si>
  <si>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</si>
  <si>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</si>
  <si>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</si>
  <si>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</si>
  <si>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</si>
  <si>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</si>
  <si>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</si>
  <si>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</si>
  <si>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</si>
  <si>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</si>
  <si>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</si>
  <si>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</si>
  <si>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</si>
  <si>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</si>
  <si>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</si>
  <si>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</si>
  <si>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</si>
  <si>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</si>
  <si>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</si>
  <si>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</si>
  <si>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</si>
  <si>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</si>
  <si>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</si>
  <si>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</si>
  <si>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</si>
  <si>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</si>
  <si>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</si>
  <si>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</si>
  <si>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</si>
  <si>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</si>
  <si>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</si>
  <si>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</si>
  <si>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</si>
  <si>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</si>
  <si>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</si>
  <si>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</si>
  <si>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</si>
  <si>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</si>
  <si>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</si>
  <si>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</si>
  <si>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</si>
  <si>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</si>
  <si>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</si>
  <si>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</si>
  <si>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</si>
  <si>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</si>
  <si>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</si>
  <si>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</si>
  <si>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</si>
  <si>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</si>
  <si>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</si>
  <si>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</si>
  <si>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</si>
  <si>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</si>
  <si>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</si>
  <si>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</si>
  <si>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</si>
  <si>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</si>
  <si>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</si>
  <si>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</si>
  <si>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</si>
  <si>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</si>
  <si>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</si>
  <si>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</si>
  <si>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</si>
  <si>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</si>
  <si>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</si>
  <si>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</si>
  <si>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</si>
  <si>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</si>
  <si>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</si>
  <si>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</si>
  <si>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</si>
  <si>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</si>
  <si>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</si>
  <si>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</si>
  <si>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</si>
  <si>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</si>
  <si>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</si>
  <si>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</si>
  <si>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</si>
  <si>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</si>
  <si>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</si>
  <si>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</si>
  <si>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</si>
  <si>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</si>
  <si>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</si>
  <si>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</si>
  <si>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</si>
  <si>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</si>
  <si>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</si>
  <si>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</si>
  <si>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</si>
  <si>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</si>
  <si>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</si>
  <si>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</si>
  <si>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</si>
  <si>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</si>
  <si>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</si>
  <si>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FCF Growth YoY</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</si>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</sst>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2" fontId="11" fillId="0" borderId="8" xfId="0" applyNumberFormat="1" applyFont="1" applyBorder="1" applyAlignment="1">
      <alignment horizontal="center"/>
    </xf>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7"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0" fontId="11" fillId="6" borderId="11" xfId="0" applyFont="1" applyFill="1" applyBorder="1" applyAlignment="1">
      <alignment horizontal="left" vertical="center" wrapText="1"/>
    </xf>
    <xf numFmtId="164" fontId="11" fillId="6" borderId="12" xfId="0" applyNumberFormat="1" applyFont="1" applyFill="1" applyBorder="1"/>
    <xf numFmtId="0" fontId="10" fillId="6" borderId="11" xfId="0" applyFont="1" applyFill="1" applyBorder="1" applyAlignment="1">
      <alignment horizontal="left" vertical="center" wrapText="1"/>
    </xf>
    <xf numFmtId="10" fontId="10" fillId="6" borderId="12" xfId="0" applyNumberFormat="1" applyFont="1" applyFill="1" applyBorder="1"/>
    <xf numFmtId="0" fontId="10" fillId="6" borderId="9" xfId="0" applyFont="1" applyFill="1" applyBorder="1" applyAlignment="1">
      <alignment horizontal="left" vertical="center" wrapText="1"/>
    </xf>
    <xf numFmtId="10" fontId="10" fillId="6" borderId="8" xfId="0" applyNumberFormat="1" applyFont="1" applyFill="1" applyBorder="1"/>
    <xf numFmtId="10" fontId="11" fillId="6" borderId="12" xfId="0" applyNumberFormat="1" applyFont="1" applyFill="1" applyBorder="1"/>
    <xf numFmtId="39" fontId="11" fillId="6" borderId="12" xfId="0" applyNumberFormat="1" applyFont="1" applyFill="1" applyBorder="1"/>
    <xf numFmtId="164" fontId="1" fillId="6" borderId="12" xfId="0" applyNumberFormat="1" applyFont="1" applyFill="1" applyBorder="1"/>
    <xf numFmtId="164" fontId="10" fillId="6" borderId="8" xfId="0" applyNumberFormat="1" applyFont="1" applyFill="1" applyBorder="1"/>
    <xf numFmtId="0" fontId="10" fillId="4" borderId="9" xfId="0" applyFont="1" applyFill="1" applyBorder="1" applyAlignment="1">
      <alignment horizontal="left" vertical="center" wrapText="1"/>
    </xf>
    <xf numFmtId="10" fontId="10" fillId="4" borderId="8" xfId="0" applyNumberFormat="1" applyFont="1" applyFill="1" applyBorder="1"/>
    <xf numFmtId="164" fontId="9"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0"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0" fillId="4" borderId="8" xfId="1" applyFont="1" applyFill="1" applyBorder="1"/>
    <xf numFmtId="0" fontId="10" fillId="4" borderId="8" xfId="0" applyFont="1" applyFill="1" applyBorder="1" applyAlignment="1">
      <alignment horizontal="right"/>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6" fillId="4" borderId="6" xfId="0" applyFont="1" applyFill="1" applyBorder="1" applyAlignment="1">
      <alignment horizontal="center"/>
    </xf>
    <xf numFmtId="0" fontId="10" fillId="5" borderId="10"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30.92</v>
    <v>2.5339999999999998</v>
    <v>0.4</v>
    <v>1.2296E-2</v>
    <v>0.08</v>
    <v>2.4290000000000002E-3</v>
    <v>USD</v>
    <v>GitLab Inc. operates a DevOps platform that offers a single application, which brings together development, operations, information technology, security and business teams. The DevOps Platform is built on a single codebase, unified data model, and user interface. The Company allows the organizations to deploy the DevOps platform as a self-managed offering in their own multi-cloud, hybrid-cloud, or on-premises environments, and as a software as a service (SaaS) offering in its own public cloud. The DevOps platform enables the customers to move their DevOps workflow across any hybrid or multi-cloud environment. It serves various organizations, such as consumer and business services, financial services and consulting, manufacturing, media/telecommunications, public sector and education and software. It offers the DevOps platform in three subscription plans, namely Free, Premium and Ultimate. Its free tier platform is for individual users and the paid tiers is for managers and executives.</v>
    <v>2170</v>
    <v>Nasdaq Stock Market</v>
    <v>XNAS</v>
    <v>XNAS</v>
    <v>268 BUSH STREET, #350, SAN FRANCISCO, CA, 94104 US</v>
    <v>33.75</v>
    <v>Software &amp; IT Services</v>
    <v>Stock</v>
    <v>45037.989290508594</v>
    <v>0</v>
    <v>32.369999999999997</v>
    <v>4998774000</v>
    <v>Gitlab Inc.</v>
    <v>Gitlab Inc.</v>
    <v>32.659999999999997</v>
    <v>32.53</v>
    <v>32.93</v>
    <v>33.01</v>
    <v>151800000</v>
    <v>GTLB</v>
    <v>Gitlab Inc. (XNAS:GTLB)</v>
    <v>1757416</v>
    <v>2655553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7" activePane="bottomRight" state="frozen"/>
      <selection pane="topRight"/>
      <selection pane="bottomLeft"/>
      <selection pane="bottomRight" activeCell="G99" sqref="G99"/>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81227000</v>
      </c>
      <c r="C3" s="1">
        <v>152176000</v>
      </c>
      <c r="D3" s="1">
        <v>252653000</v>
      </c>
      <c r="E3" s="1">
        <v>424300000</v>
      </c>
      <c r="F3" s="15">
        <v>530000000</v>
      </c>
      <c r="G3" s="15">
        <v>640000000</v>
      </c>
      <c r="H3" s="15">
        <v>750000000</v>
      </c>
      <c r="I3" s="15">
        <v>860000000</v>
      </c>
      <c r="J3" s="15">
        <v>970000000</v>
      </c>
      <c r="K3" s="16" t="s">
        <v>94</v>
      </c>
      <c r="L3" s="17" t="s">
        <v>95</v>
      </c>
      <c r="M3" s="17" t="s">
        <v>96</v>
      </c>
      <c r="N3" s="17" t="s">
        <v>97</v>
      </c>
    </row>
    <row r="4" spans="1:38" ht="19" x14ac:dyDescent="0.25">
      <c r="A4" s="27" t="s">
        <v>115</v>
      </c>
      <c r="B4" s="1"/>
      <c r="C4" s="21">
        <f>(C3/B3)-1</f>
        <v>0.87346571952675833</v>
      </c>
      <c r="D4" s="21">
        <f>(D3/C3)-1</f>
        <v>0.66026837346230671</v>
      </c>
      <c r="E4" s="21">
        <f>(E3/D3)-1</f>
        <v>0.67937843603677761</v>
      </c>
      <c r="F4" s="18">
        <f t="shared" ref="F4:J4" si="0">(F3/E3)-1</f>
        <v>0.24911619137402785</v>
      </c>
      <c r="G4" s="18">
        <f t="shared" si="0"/>
        <v>0.20754716981132071</v>
      </c>
      <c r="H4" s="18">
        <f t="shared" si="0"/>
        <v>0.171875</v>
      </c>
      <c r="I4" s="18">
        <f t="shared" si="0"/>
        <v>0.14666666666666672</v>
      </c>
      <c r="J4" s="18">
        <f t="shared" si="0"/>
        <v>0.12790697674418605</v>
      </c>
      <c r="K4" s="19">
        <f>(E4+D4+C4)/3</f>
        <v>0.73770417634194752</v>
      </c>
      <c r="L4" s="19">
        <f>(E20+D20+C20)/3</f>
        <v>0.21485338135671725</v>
      </c>
      <c r="M4" s="19">
        <f>(E29+D29+C29)/3</f>
        <v>0.11129244421654354</v>
      </c>
      <c r="N4" s="19">
        <f>(E105+D105+C105)/3</f>
        <v>0.17302779161668388</v>
      </c>
      <c r="S4" s="18"/>
      <c r="T4" s="18"/>
      <c r="U4" s="18"/>
      <c r="V4" s="18"/>
      <c r="W4" s="18"/>
      <c r="X4" s="18"/>
      <c r="Y4" s="18"/>
      <c r="Z4" s="18"/>
      <c r="AA4" s="18"/>
      <c r="AB4" s="18"/>
      <c r="AC4" s="18"/>
      <c r="AD4" s="18"/>
      <c r="AE4" s="18"/>
      <c r="AF4" s="18"/>
      <c r="AI4" s="28"/>
      <c r="AJ4" s="28"/>
      <c r="AK4" s="28"/>
      <c r="AL4" s="28"/>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98</v>
      </c>
      <c r="L6" s="17" t="s">
        <v>99</v>
      </c>
      <c r="M6" s="17" t="s">
        <v>100</v>
      </c>
      <c r="N6" s="17" t="s">
        <v>101</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E106/E3</f>
        <v>-0.19674287061041715</v>
      </c>
    </row>
    <row r="8" spans="1:38" ht="19" x14ac:dyDescent="0.25">
      <c r="A8" s="5" t="s">
        <v>5</v>
      </c>
      <c r="B8" s="1">
        <v>59364000</v>
      </c>
      <c r="C8" s="1">
        <v>106643000</v>
      </c>
      <c r="D8" s="1">
        <v>97217000</v>
      </c>
      <c r="E8" s="1">
        <v>156143000</v>
      </c>
    </row>
    <row r="9" spans="1:38" ht="19" customHeight="1" x14ac:dyDescent="0.25">
      <c r="A9" s="27" t="s">
        <v>116</v>
      </c>
      <c r="B9" s="21">
        <f>B8/B3</f>
        <v>0.73084073029903851</v>
      </c>
      <c r="C9" s="21">
        <f t="shared" ref="C9:E9" si="1">C8/C3</f>
        <v>0.70078724634633582</v>
      </c>
      <c r="D9" s="21">
        <f t="shared" si="1"/>
        <v>0.38478466513360221</v>
      </c>
      <c r="E9" s="21">
        <f t="shared" si="1"/>
        <v>0.36800141409380155</v>
      </c>
      <c r="F9" s="21"/>
      <c r="G9" s="21"/>
      <c r="K9" s="16" t="s">
        <v>102</v>
      </c>
      <c r="L9" s="17" t="s">
        <v>103</v>
      </c>
      <c r="M9" s="17" t="s">
        <v>104</v>
      </c>
      <c r="N9" s="17" t="s">
        <v>105</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106</v>
      </c>
      <c r="L12" s="17" t="s">
        <v>107</v>
      </c>
      <c r="M12" s="17" t="s">
        <v>108</v>
      </c>
      <c r="N12" s="17" t="s">
        <v>109</v>
      </c>
    </row>
    <row r="13" spans="1:38" ht="19" x14ac:dyDescent="0.25">
      <c r="A13" s="27" t="s">
        <v>117</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22">
        <f>E67/E72</f>
        <v>0.41768468277304555</v>
      </c>
    </row>
    <row r="14" spans="1:38" ht="19" x14ac:dyDescent="0.25">
      <c r="A14" s="5" t="s">
        <v>9</v>
      </c>
      <c r="B14" s="1" t="s">
        <v>92</v>
      </c>
      <c r="C14" s="1" t="s">
        <v>92</v>
      </c>
      <c r="D14" s="1" t="s">
        <v>92</v>
      </c>
      <c r="E14" s="1" t="s">
        <v>92</v>
      </c>
    </row>
    <row r="15" spans="1:38" ht="20" x14ac:dyDescent="0.25">
      <c r="A15" s="5" t="s">
        <v>10</v>
      </c>
      <c r="B15" s="1">
        <v>200218000</v>
      </c>
      <c r="C15" s="1">
        <v>347597000</v>
      </c>
      <c r="D15" s="1">
        <v>351625000</v>
      </c>
      <c r="E15" s="1">
        <f>E8+E10+E11</f>
        <v>584067000</v>
      </c>
      <c r="K15" s="16" t="s">
        <v>110</v>
      </c>
      <c r="L15" s="17" t="s">
        <v>111</v>
      </c>
      <c r="M15" s="17" t="s">
        <v>112</v>
      </c>
      <c r="N15" s="17" t="s">
        <v>113</v>
      </c>
    </row>
    <row r="16" spans="1:38" ht="19" x14ac:dyDescent="0.25">
      <c r="A16" s="5" t="s">
        <v>11</v>
      </c>
      <c r="B16" s="1">
        <v>209594000</v>
      </c>
      <c r="C16" s="1">
        <v>366060000</v>
      </c>
      <c r="D16" s="1">
        <v>381610000</v>
      </c>
      <c r="E16" s="1">
        <f>E15+E5</f>
        <v>635747000</v>
      </c>
      <c r="K16" s="23">
        <f>(E35+D35+C35+B35)/4</f>
        <v>3.5630976026606309E-2</v>
      </c>
      <c r="L16" s="24">
        <f>M101/E3</f>
        <v>11.781225547961348</v>
      </c>
      <c r="M16" s="24">
        <f>M101/E28</f>
        <v>-30.494088796164124</v>
      </c>
      <c r="N16" s="25">
        <f>M102/E106</f>
        <v>-1.1979204101679484E-8</v>
      </c>
    </row>
    <row r="17" spans="1:11" ht="19" x14ac:dyDescent="0.25">
      <c r="A17" s="5" t="s">
        <v>12</v>
      </c>
      <c r="B17" s="1" t="s">
        <v>92</v>
      </c>
      <c r="C17" s="1" t="s">
        <v>92</v>
      </c>
      <c r="D17" s="1">
        <v>736000</v>
      </c>
      <c r="E17" s="1">
        <v>14496000</v>
      </c>
    </row>
    <row r="18" spans="1:11" ht="20" x14ac:dyDescent="0.25">
      <c r="A18" s="5" t="s">
        <v>13</v>
      </c>
      <c r="B18" s="1" t="s">
        <v>92</v>
      </c>
      <c r="C18" s="1">
        <v>222000</v>
      </c>
      <c r="D18" s="1">
        <v>1208000</v>
      </c>
      <c r="E18" s="1">
        <v>1208000</v>
      </c>
      <c r="K18" s="16" t="s">
        <v>114</v>
      </c>
    </row>
    <row r="19" spans="1:11" ht="19" x14ac:dyDescent="0.25">
      <c r="A19" s="6" t="s">
        <v>14</v>
      </c>
      <c r="B19" s="10">
        <v>-129541000</v>
      </c>
      <c r="C19" s="10">
        <v>-189140000</v>
      </c>
      <c r="D19" s="10">
        <v>-154705000</v>
      </c>
      <c r="E19" s="10">
        <v>-211411000</v>
      </c>
      <c r="K19" s="26">
        <f>E40-E56-E61</f>
        <v>936651000</v>
      </c>
    </row>
    <row r="20" spans="1:11" ht="19" customHeight="1" x14ac:dyDescent="0.25">
      <c r="A20" s="27" t="s">
        <v>118</v>
      </c>
      <c r="B20" s="1"/>
      <c r="C20" s="21">
        <f>(C19/B19)-1</f>
        <v>0.46007827637581933</v>
      </c>
      <c r="D20" s="21">
        <f>(D19/C19)-1</f>
        <v>-0.18206090726446023</v>
      </c>
      <c r="E20" s="21">
        <f>(E19/D19)-1</f>
        <v>0.36654277495879262</v>
      </c>
    </row>
    <row r="21" spans="1:11" ht="19" x14ac:dyDescent="0.25">
      <c r="A21" s="5" t="s">
        <v>15</v>
      </c>
      <c r="B21" s="2">
        <v>-1.5948</v>
      </c>
      <c r="C21" s="2">
        <v>-1.2428999999999999</v>
      </c>
      <c r="D21" s="2">
        <v>-0.61229999999999996</v>
      </c>
      <c r="E21" s="2">
        <f>E19/E3</f>
        <v>-0.49825830780108415</v>
      </c>
    </row>
    <row r="22" spans="1:11" ht="19" x14ac:dyDescent="0.25">
      <c r="A22" s="6" t="s">
        <v>16</v>
      </c>
      <c r="B22" s="10">
        <v>-128367000</v>
      </c>
      <c r="C22" s="10">
        <v>-213884000</v>
      </c>
      <c r="D22" s="10">
        <v>-128957000</v>
      </c>
      <c r="E22" s="10">
        <v>-211411000</v>
      </c>
    </row>
    <row r="23" spans="1:11" ht="19" x14ac:dyDescent="0.25">
      <c r="A23" s="5" t="s">
        <v>17</v>
      </c>
      <c r="B23" s="2">
        <v>-1.5803</v>
      </c>
      <c r="C23" s="2">
        <v>-1.4055</v>
      </c>
      <c r="D23" s="2">
        <v>-0.51039999999999996</v>
      </c>
      <c r="E23" s="2">
        <f>E22/E3</f>
        <v>-0.49825830780108415</v>
      </c>
    </row>
    <row r="24" spans="1:11" ht="19" x14ac:dyDescent="0.25">
      <c r="A24" s="5" t="s">
        <v>18</v>
      </c>
      <c r="B24" s="1">
        <v>-1174000</v>
      </c>
      <c r="C24" s="1">
        <v>24522000</v>
      </c>
      <c r="D24" s="1">
        <v>-30114000</v>
      </c>
      <c r="E24" s="1">
        <v>36081000</v>
      </c>
    </row>
    <row r="25" spans="1:11" ht="19" x14ac:dyDescent="0.25">
      <c r="A25" s="6" t="s">
        <v>19</v>
      </c>
      <c r="B25" s="10">
        <v>-129541000</v>
      </c>
      <c r="C25" s="10">
        <v>-189362000</v>
      </c>
      <c r="D25" s="10">
        <v>-159071000</v>
      </c>
      <c r="E25" s="10">
        <v>-177798000</v>
      </c>
    </row>
    <row r="26" spans="1:11" ht="19" x14ac:dyDescent="0.25">
      <c r="A26" s="5" t="s">
        <v>20</v>
      </c>
      <c r="B26" s="2">
        <v>-1.5948</v>
      </c>
      <c r="C26" s="2">
        <v>-1.2444</v>
      </c>
      <c r="D26" s="2">
        <v>-0.62960000000000005</v>
      </c>
      <c r="E26" s="2">
        <f>E25/E3</f>
        <v>-0.41903841621494226</v>
      </c>
    </row>
    <row r="27" spans="1:11" ht="19" x14ac:dyDescent="0.25">
      <c r="A27" s="5" t="s">
        <v>21</v>
      </c>
      <c r="B27" s="1">
        <v>1200000</v>
      </c>
      <c r="C27" s="1">
        <v>2832000</v>
      </c>
      <c r="D27" s="1">
        <v>-1511000</v>
      </c>
      <c r="E27" s="1">
        <v>2898000</v>
      </c>
    </row>
    <row r="28" spans="1:11" ht="20" thickBot="1" x14ac:dyDescent="0.3">
      <c r="A28" s="7" t="s">
        <v>22</v>
      </c>
      <c r="B28" s="11">
        <v>-130741000</v>
      </c>
      <c r="C28" s="11">
        <v>-192194000</v>
      </c>
      <c r="D28" s="11">
        <v>-155138000</v>
      </c>
      <c r="E28" s="11">
        <v>-163926000</v>
      </c>
    </row>
    <row r="29" spans="1:11" ht="20" customHeight="1" thickTop="1" x14ac:dyDescent="0.25">
      <c r="A29" s="27" t="s">
        <v>119</v>
      </c>
      <c r="B29" s="1"/>
      <c r="C29" s="21">
        <f>(C28/B28)-1</f>
        <v>0.47003617839851319</v>
      </c>
      <c r="D29" s="21">
        <f>(D28/C28)-1</f>
        <v>-0.19280518642621514</v>
      </c>
      <c r="E29" s="21">
        <f>(E28/D28)-1</f>
        <v>5.6646340677332541E-2</v>
      </c>
    </row>
    <row r="30" spans="1:11" ht="19" x14ac:dyDescent="0.25">
      <c r="A30" s="5" t="s">
        <v>23</v>
      </c>
      <c r="B30" s="2">
        <v>-1.6095999999999999</v>
      </c>
      <c r="C30" s="2">
        <v>-1.2629999999999999</v>
      </c>
      <c r="D30" s="2">
        <v>-0.61399999999999999</v>
      </c>
      <c r="E30" s="2">
        <f>E28/E3</f>
        <v>-0.38634456752297902</v>
      </c>
    </row>
    <row r="31" spans="1:11" ht="19" x14ac:dyDescent="0.25">
      <c r="A31" s="5" t="s">
        <v>24</v>
      </c>
      <c r="B31" s="12">
        <v>-1.01</v>
      </c>
      <c r="C31" s="12">
        <v>-1.48</v>
      </c>
      <c r="D31" s="12">
        <v>-1.21</v>
      </c>
      <c r="E31" s="12">
        <f>E28/E33</f>
        <v>-1.104570539125513</v>
      </c>
    </row>
    <row r="32" spans="1:11"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7" t="s">
        <v>120</v>
      </c>
      <c r="B35" s="1">
        <v>0</v>
      </c>
      <c r="C35" s="29">
        <f>(C34-B34)/B34</f>
        <v>0</v>
      </c>
      <c r="D35" s="29">
        <f t="shared" ref="D35:E35" si="3">(D34-C34)/C34</f>
        <v>0</v>
      </c>
      <c r="E35" s="29">
        <f t="shared" si="3"/>
        <v>0.14252390410642524</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343327000</v>
      </c>
      <c r="C38" s="1">
        <v>282850000</v>
      </c>
      <c r="D38" s="1">
        <v>884672000</v>
      </c>
      <c r="E38" s="1">
        <v>295402000</v>
      </c>
    </row>
    <row r="39" spans="1:5" ht="19" x14ac:dyDescent="0.25">
      <c r="A39" s="5" t="s">
        <v>31</v>
      </c>
      <c r="B39" s="1" t="s">
        <v>92</v>
      </c>
      <c r="C39" s="1" t="s">
        <v>92</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92</v>
      </c>
      <c r="C42" s="1" t="s">
        <v>92</v>
      </c>
      <c r="D42" s="1" t="s">
        <v>92</v>
      </c>
      <c r="E42" s="1" t="s">
        <v>92</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92</v>
      </c>
      <c r="C45" s="1" t="s">
        <v>92</v>
      </c>
      <c r="D45" s="1">
        <v>3271000</v>
      </c>
      <c r="E45" s="1">
        <v>5797000</v>
      </c>
    </row>
    <row r="46" spans="1:5" ht="19" x14ac:dyDescent="0.25">
      <c r="A46" s="5" t="s">
        <v>38</v>
      </c>
      <c r="B46" s="1" t="s">
        <v>92</v>
      </c>
      <c r="C46" s="1" t="s">
        <v>92</v>
      </c>
      <c r="D46" s="1">
        <v>8145000</v>
      </c>
      <c r="E46" s="1">
        <v>8145000</v>
      </c>
    </row>
    <row r="47" spans="1:5" ht="19" x14ac:dyDescent="0.25">
      <c r="A47" s="5" t="s">
        <v>39</v>
      </c>
      <c r="B47" s="1" t="s">
        <v>92</v>
      </c>
      <c r="C47" s="1" t="s">
        <v>92</v>
      </c>
      <c r="D47" s="1">
        <v>6285000</v>
      </c>
      <c r="E47" s="1">
        <v>3901000</v>
      </c>
    </row>
    <row r="48" spans="1:5" ht="19" x14ac:dyDescent="0.25">
      <c r="A48" s="5" t="s">
        <v>40</v>
      </c>
      <c r="B48" s="1" t="s">
        <v>92</v>
      </c>
      <c r="C48" s="1" t="s">
        <v>92</v>
      </c>
      <c r="D48" s="1">
        <v>14430000</v>
      </c>
      <c r="E48" s="1">
        <f>E46+E47</f>
        <v>12046000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92</v>
      </c>
      <c r="C53" s="1" t="s">
        <v>92</v>
      </c>
      <c r="D53" s="1" t="s">
        <v>92</v>
      </c>
      <c r="E53" s="1" t="s">
        <v>92</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92</v>
      </c>
      <c r="C56" s="1" t="s">
        <v>92</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92</v>
      </c>
      <c r="C61" s="1" t="s">
        <v>92</v>
      </c>
      <c r="D61" s="1">
        <v>0</v>
      </c>
      <c r="E61" s="1">
        <v>0</v>
      </c>
    </row>
    <row r="62" spans="1:5" ht="19" x14ac:dyDescent="0.25">
      <c r="A62" s="5" t="s">
        <v>50</v>
      </c>
      <c r="B62" s="1">
        <v>18743000</v>
      </c>
      <c r="C62" s="1">
        <v>30625000</v>
      </c>
      <c r="D62" s="1">
        <v>32568000</v>
      </c>
      <c r="E62" s="1">
        <v>28355000</v>
      </c>
    </row>
    <row r="63" spans="1:5" ht="19" x14ac:dyDescent="0.25">
      <c r="A63" s="5" t="s">
        <v>54</v>
      </c>
      <c r="B63" s="1" t="s">
        <v>92</v>
      </c>
      <c r="C63" s="1" t="s">
        <v>92</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92</v>
      </c>
      <c r="C66" s="1" t="s">
        <v>92</v>
      </c>
      <c r="D66" s="1" t="s">
        <v>92</v>
      </c>
      <c r="E66" s="1" t="s">
        <v>92</v>
      </c>
    </row>
    <row r="67" spans="1:5" ht="19" x14ac:dyDescent="0.25">
      <c r="A67" s="6" t="s">
        <v>58</v>
      </c>
      <c r="B67" s="10">
        <v>526595000</v>
      </c>
      <c r="C67" s="10">
        <v>593788000</v>
      </c>
      <c r="D67" s="10">
        <v>292169000</v>
      </c>
      <c r="E67" s="10">
        <v>344475000</v>
      </c>
    </row>
    <row r="68" spans="1:5" ht="19" x14ac:dyDescent="0.25">
      <c r="A68" s="5" t="s">
        <v>59</v>
      </c>
      <c r="B68" s="1" t="s">
        <v>92</v>
      </c>
      <c r="C68" s="1" t="s">
        <v>92</v>
      </c>
      <c r="D68" s="1" t="s">
        <v>92</v>
      </c>
      <c r="E68" s="1" t="s">
        <v>92</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-130741000</v>
      </c>
      <c r="C76" s="1">
        <v>-192194000</v>
      </c>
      <c r="D76" s="1">
        <v>-155138000</v>
      </c>
      <c r="E76" s="1">
        <v>-180696000</v>
      </c>
    </row>
    <row r="77" spans="1:5" ht="19" x14ac:dyDescent="0.25">
      <c r="A77" s="5" t="s">
        <v>13</v>
      </c>
      <c r="B77" s="1" t="s">
        <v>92</v>
      </c>
      <c r="C77" s="1">
        <v>222000</v>
      </c>
      <c r="D77" s="1">
        <v>1208000</v>
      </c>
      <c r="E77" s="1">
        <v>50551000</v>
      </c>
    </row>
    <row r="78" spans="1:5" ht="19" x14ac:dyDescent="0.25">
      <c r="A78" s="5" t="s">
        <v>67</v>
      </c>
      <c r="B78" s="1" t="s">
        <v>92</v>
      </c>
      <c r="C78" s="1" t="s">
        <v>92</v>
      </c>
      <c r="D78" s="1" t="s">
        <v>92</v>
      </c>
      <c r="E78" s="1">
        <v>-2898000</v>
      </c>
    </row>
    <row r="79" spans="1:5" ht="19" x14ac:dyDescent="0.25">
      <c r="A79" s="5" t="s">
        <v>68</v>
      </c>
      <c r="B79" s="1">
        <v>40872000</v>
      </c>
      <c r="C79" s="1">
        <v>111846000</v>
      </c>
      <c r="D79" s="1">
        <v>30009000</v>
      </c>
      <c r="E79" s="1">
        <v>122567000</v>
      </c>
    </row>
    <row r="80" spans="1:5" ht="19" x14ac:dyDescent="0.25">
      <c r="A80" s="27" t="s">
        <v>121</v>
      </c>
      <c r="B80" s="21">
        <f t="shared" ref="B80:E80" si="4">B79/B3</f>
        <v>0.50318243933667373</v>
      </c>
      <c r="C80" s="21">
        <f t="shared" si="4"/>
        <v>0.73497792030280729</v>
      </c>
      <c r="D80" s="21">
        <f t="shared" si="4"/>
        <v>0.1187755538228321</v>
      </c>
      <c r="E80" s="21">
        <f t="shared" si="4"/>
        <v>0.2888687249587556</v>
      </c>
    </row>
    <row r="81" spans="1:13" ht="19" x14ac:dyDescent="0.25">
      <c r="A81" s="5" t="s">
        <v>69</v>
      </c>
      <c r="B81" s="1">
        <v>17364000</v>
      </c>
      <c r="C81" s="1">
        <v>11941000</v>
      </c>
      <c r="D81" s="1">
        <v>22575000</v>
      </c>
      <c r="E81" s="1"/>
    </row>
    <row r="82" spans="1:13" ht="19" customHeight="1" x14ac:dyDescent="0.25">
      <c r="A82" s="5" t="s">
        <v>70</v>
      </c>
      <c r="B82" s="1">
        <v>-13457000</v>
      </c>
      <c r="C82" s="1">
        <v>-14745000</v>
      </c>
      <c r="D82" s="1">
        <v>-38223000</v>
      </c>
      <c r="E82" s="1">
        <v>-130479000</v>
      </c>
    </row>
    <row r="83" spans="1:13" ht="19" customHeight="1" x14ac:dyDescent="0.25">
      <c r="A83" s="5" t="s">
        <v>34</v>
      </c>
      <c r="B83" s="1" t="s">
        <v>92</v>
      </c>
      <c r="C83" s="1" t="s">
        <v>92</v>
      </c>
      <c r="D83" s="1" t="s">
        <v>92</v>
      </c>
      <c r="E83" s="1" t="s">
        <v>92</v>
      </c>
      <c r="L83" s="62" t="s">
        <v>124</v>
      </c>
      <c r="M83" s="63"/>
    </row>
    <row r="84" spans="1:13" ht="19" customHeight="1" x14ac:dyDescent="0.25">
      <c r="A84" s="5" t="s">
        <v>47</v>
      </c>
      <c r="B84" s="1">
        <v>914000</v>
      </c>
      <c r="C84" s="1">
        <v>1474000</v>
      </c>
      <c r="D84" s="1">
        <v>1877000</v>
      </c>
      <c r="E84" s="1">
        <v>5184000</v>
      </c>
      <c r="L84" s="64" t="s">
        <v>125</v>
      </c>
      <c r="M84" s="65"/>
    </row>
    <row r="85" spans="1:13" ht="20" x14ac:dyDescent="0.25">
      <c r="A85" s="5" t="s">
        <v>71</v>
      </c>
      <c r="B85" s="1">
        <v>32518000</v>
      </c>
      <c r="C85" s="1">
        <v>22891000</v>
      </c>
      <c r="D85" s="1">
        <v>56254000</v>
      </c>
      <c r="E85" s="1"/>
      <c r="L85" s="30" t="s">
        <v>126</v>
      </c>
      <c r="M85" s="31">
        <f>E17</f>
        <v>14496000</v>
      </c>
    </row>
    <row r="86" spans="1:13" ht="20" x14ac:dyDescent="0.25">
      <c r="A86" s="5" t="s">
        <v>72</v>
      </c>
      <c r="B86" s="1">
        <v>12339000</v>
      </c>
      <c r="C86" s="1">
        <v>-5395000</v>
      </c>
      <c r="D86" s="1">
        <v>51532000</v>
      </c>
      <c r="E86" s="1">
        <v>-594000</v>
      </c>
      <c r="L86" s="30" t="s">
        <v>127</v>
      </c>
      <c r="M86" s="31">
        <f>E56</f>
        <v>0</v>
      </c>
    </row>
    <row r="87" spans="1:13" ht="20" x14ac:dyDescent="0.25">
      <c r="A87" s="6" t="s">
        <v>73</v>
      </c>
      <c r="B87" s="10">
        <v>-60166000</v>
      </c>
      <c r="C87" s="10">
        <v>-73580000</v>
      </c>
      <c r="D87" s="10">
        <v>-49814000</v>
      </c>
      <c r="E87" s="10">
        <v>-77408000</v>
      </c>
      <c r="L87" s="30" t="s">
        <v>128</v>
      </c>
      <c r="M87" s="31">
        <f>E61</f>
        <v>0</v>
      </c>
    </row>
    <row r="88" spans="1:13" ht="20" x14ac:dyDescent="0.25">
      <c r="A88" s="5" t="s">
        <v>74</v>
      </c>
      <c r="B88" s="1" t="s">
        <v>92</v>
      </c>
      <c r="C88" s="1" t="s">
        <v>92</v>
      </c>
      <c r="D88" s="1">
        <v>-3541000</v>
      </c>
      <c r="E88" s="1">
        <v>-6070000</v>
      </c>
      <c r="L88" s="32" t="s">
        <v>129</v>
      </c>
      <c r="M88" s="33">
        <v>0</v>
      </c>
    </row>
    <row r="89" spans="1:13" ht="20" customHeight="1" x14ac:dyDescent="0.25">
      <c r="A89" s="27" t="s">
        <v>122</v>
      </c>
      <c r="B89" s="21" t="e">
        <f t="shared" ref="B89:E89" si="5">(-1*B88)/B3</f>
        <v>#VALUE!</v>
      </c>
      <c r="C89" s="21" t="e">
        <f t="shared" si="5"/>
        <v>#VALUE!</v>
      </c>
      <c r="D89" s="21">
        <f t="shared" si="5"/>
        <v>1.4015269955235046E-2</v>
      </c>
      <c r="E89" s="21">
        <f t="shared" si="5"/>
        <v>1.4305915625736507E-2</v>
      </c>
      <c r="F89" s="21"/>
      <c r="G89" s="21"/>
      <c r="L89" s="30" t="s">
        <v>130</v>
      </c>
      <c r="M89" s="31">
        <f>E27</f>
        <v>2898000</v>
      </c>
    </row>
    <row r="90" spans="1:13" ht="20" x14ac:dyDescent="0.25">
      <c r="A90" s="5" t="s">
        <v>75</v>
      </c>
      <c r="B90" s="1" t="s">
        <v>92</v>
      </c>
      <c r="C90" s="1" t="s">
        <v>92</v>
      </c>
      <c r="D90" s="1">
        <v>-323000</v>
      </c>
      <c r="E90" s="1">
        <v>0</v>
      </c>
      <c r="L90" s="30" t="s">
        <v>19</v>
      </c>
      <c r="M90" s="31">
        <f>E25</f>
        <v>-177798000</v>
      </c>
    </row>
    <row r="91" spans="1:13" ht="19" customHeight="1" x14ac:dyDescent="0.25">
      <c r="A91" s="5" t="s">
        <v>76</v>
      </c>
      <c r="B91" s="1" t="s">
        <v>92</v>
      </c>
      <c r="C91" s="1" t="s">
        <v>92</v>
      </c>
      <c r="D91" s="1">
        <v>-100031000</v>
      </c>
      <c r="E91" s="1">
        <v>-821622000</v>
      </c>
      <c r="L91" s="32" t="s">
        <v>131</v>
      </c>
      <c r="M91" s="33">
        <f>M89/M90</f>
        <v>-1.6299395943711402E-2</v>
      </c>
    </row>
    <row r="92" spans="1:13" ht="19" customHeight="1" x14ac:dyDescent="0.25">
      <c r="A92" s="5" t="s">
        <v>77</v>
      </c>
      <c r="B92" s="1" t="s">
        <v>92</v>
      </c>
      <c r="C92" s="1" t="s">
        <v>92</v>
      </c>
      <c r="D92" s="1">
        <v>50000000</v>
      </c>
      <c r="E92" s="1">
        <v>231626000</v>
      </c>
      <c r="L92" s="34" t="s">
        <v>132</v>
      </c>
      <c r="M92" s="35">
        <f>M88*(1-M91)</f>
        <v>0</v>
      </c>
    </row>
    <row r="93" spans="1:13" ht="19" customHeight="1" x14ac:dyDescent="0.25">
      <c r="A93" s="5" t="s">
        <v>78</v>
      </c>
      <c r="B93" s="1" t="s">
        <v>92</v>
      </c>
      <c r="C93" s="1">
        <v>-842000</v>
      </c>
      <c r="D93" s="1" t="s">
        <v>92</v>
      </c>
      <c r="E93" s="1">
        <v>-9620000</v>
      </c>
      <c r="L93" s="66" t="s">
        <v>133</v>
      </c>
      <c r="M93" s="67"/>
    </row>
    <row r="94" spans="1:13" ht="20" x14ac:dyDescent="0.25">
      <c r="A94" s="6" t="s">
        <v>79</v>
      </c>
      <c r="B94" s="10" t="s">
        <v>92</v>
      </c>
      <c r="C94" s="10">
        <v>-842000</v>
      </c>
      <c r="D94" s="10">
        <v>-53895000</v>
      </c>
      <c r="E94" s="10">
        <v>-605686000</v>
      </c>
      <c r="L94" s="30" t="s">
        <v>134</v>
      </c>
      <c r="M94" s="36">
        <v>4.095E-2</v>
      </c>
    </row>
    <row r="95" spans="1:13" ht="20" x14ac:dyDescent="0.25">
      <c r="A95" s="5" t="s">
        <v>80</v>
      </c>
      <c r="B95" s="1" t="s">
        <v>92</v>
      </c>
      <c r="C95" s="1" t="s">
        <v>92</v>
      </c>
      <c r="D95" s="1" t="s">
        <v>92</v>
      </c>
      <c r="E95" s="1" t="s">
        <v>92</v>
      </c>
      <c r="L95" s="30" t="s">
        <v>135</v>
      </c>
      <c r="M95" s="37" cm="1">
        <f t="array" ref="M95">_FV(A1,"Beta")</f>
        <v>2.5339999999999998</v>
      </c>
    </row>
    <row r="96" spans="1:13" ht="19" customHeight="1" x14ac:dyDescent="0.25">
      <c r="A96" s="5" t="s">
        <v>81</v>
      </c>
      <c r="B96" s="1" t="s">
        <v>92</v>
      </c>
      <c r="C96" s="1" t="s">
        <v>92</v>
      </c>
      <c r="D96" s="1">
        <v>654552000</v>
      </c>
      <c r="E96" s="1">
        <v>38983000</v>
      </c>
      <c r="L96" s="30" t="s">
        <v>136</v>
      </c>
      <c r="M96" s="36">
        <v>8.4000000000000005E-2</v>
      </c>
    </row>
    <row r="97" spans="1:13" ht="19" customHeight="1" x14ac:dyDescent="0.25">
      <c r="A97" s="5" t="s">
        <v>82</v>
      </c>
      <c r="B97" s="1" t="s">
        <v>92</v>
      </c>
      <c r="C97" s="1">
        <v>-820000</v>
      </c>
      <c r="D97" s="1">
        <v>-590000</v>
      </c>
      <c r="E97" s="1">
        <v>0</v>
      </c>
      <c r="L97" s="34" t="s">
        <v>137</v>
      </c>
      <c r="M97" s="35">
        <f>(M94)+((M95)*(M96-M94))</f>
        <v>0.15003870000000002</v>
      </c>
    </row>
    <row r="98" spans="1:13" ht="19" customHeight="1" x14ac:dyDescent="0.25">
      <c r="A98" s="5" t="s">
        <v>83</v>
      </c>
      <c r="B98" s="1" t="s">
        <v>92</v>
      </c>
      <c r="C98" s="1" t="s">
        <v>92</v>
      </c>
      <c r="D98" s="1" t="s">
        <v>92</v>
      </c>
      <c r="E98" s="1" t="s">
        <v>92</v>
      </c>
      <c r="L98" s="66" t="s">
        <v>138</v>
      </c>
      <c r="M98" s="67"/>
    </row>
    <row r="99" spans="1:13" ht="20" x14ac:dyDescent="0.25">
      <c r="A99" s="5" t="s">
        <v>84</v>
      </c>
      <c r="B99" s="1">
        <v>271265000</v>
      </c>
      <c r="C99" s="1">
        <v>13765000</v>
      </c>
      <c r="D99" s="1">
        <v>47223000</v>
      </c>
      <c r="E99" s="1">
        <v>64863000</v>
      </c>
      <c r="L99" s="30" t="s">
        <v>139</v>
      </c>
      <c r="M99" s="31">
        <f>M86+M87</f>
        <v>0</v>
      </c>
    </row>
    <row r="100" spans="1:13" ht="20" x14ac:dyDescent="0.25">
      <c r="A100" s="6" t="s">
        <v>85</v>
      </c>
      <c r="B100" s="10">
        <v>271265000</v>
      </c>
      <c r="C100" s="10">
        <v>12945000</v>
      </c>
      <c r="D100" s="10">
        <v>701185000</v>
      </c>
      <c r="E100" s="10">
        <v>97482000</v>
      </c>
      <c r="L100" s="32" t="s">
        <v>140</v>
      </c>
      <c r="M100" s="33">
        <f>M99/M103</f>
        <v>0</v>
      </c>
    </row>
    <row r="101" spans="1:13" ht="20" x14ac:dyDescent="0.25">
      <c r="A101" s="5" t="s">
        <v>86</v>
      </c>
      <c r="B101" s="1">
        <v>-226000</v>
      </c>
      <c r="C101" s="1">
        <v>1000000</v>
      </c>
      <c r="D101" s="1">
        <v>6846000</v>
      </c>
      <c r="E101" s="1">
        <v>-3658000</v>
      </c>
      <c r="L101" s="30" t="s">
        <v>141</v>
      </c>
      <c r="M101" s="38" cm="1">
        <f t="array" ref="M101">_FV(A1,"Market cap",TRUE)</f>
        <v>4998774000</v>
      </c>
    </row>
    <row r="102" spans="1:13" ht="19" customHeight="1" x14ac:dyDescent="0.25">
      <c r="A102" s="6" t="s">
        <v>87</v>
      </c>
      <c r="B102" s="10">
        <v>210873000</v>
      </c>
      <c r="C102" s="10">
        <v>-60477000</v>
      </c>
      <c r="D102" s="10">
        <v>604322000</v>
      </c>
      <c r="E102" s="10">
        <v>-589270000</v>
      </c>
      <c r="L102" s="32" t="s">
        <v>142</v>
      </c>
      <c r="M102" s="33">
        <f>M101/M103</f>
        <v>1</v>
      </c>
    </row>
    <row r="103" spans="1:13" ht="19" customHeight="1" x14ac:dyDescent="0.25">
      <c r="A103" s="5" t="s">
        <v>88</v>
      </c>
      <c r="B103" s="1">
        <v>132454000</v>
      </c>
      <c r="C103" s="1">
        <v>343327000</v>
      </c>
      <c r="D103" s="1">
        <v>282850000</v>
      </c>
      <c r="E103" s="1">
        <v>887172000</v>
      </c>
      <c r="L103" s="34" t="s">
        <v>143</v>
      </c>
      <c r="M103" s="39">
        <f>M99+M101</f>
        <v>4998774000</v>
      </c>
    </row>
    <row r="104" spans="1:13" ht="20" customHeight="1" thickBot="1" x14ac:dyDescent="0.3">
      <c r="A104" s="7" t="s">
        <v>89</v>
      </c>
      <c r="B104" s="11">
        <v>343327000</v>
      </c>
      <c r="C104" s="11">
        <v>282850000</v>
      </c>
      <c r="D104" s="11">
        <v>887172000</v>
      </c>
      <c r="E104" s="11">
        <v>297902000</v>
      </c>
      <c r="L104" s="66" t="s">
        <v>144</v>
      </c>
      <c r="M104" s="67"/>
    </row>
    <row r="105" spans="1:13" ht="21" thickTop="1" x14ac:dyDescent="0.25">
      <c r="A105" s="27" t="s">
        <v>123</v>
      </c>
      <c r="B105" s="1"/>
      <c r="C105" s="21">
        <f>(C106/B106)-1</f>
        <v>0.2384569358109232</v>
      </c>
      <c r="D105" s="21">
        <f>(D106/C106)-1</f>
        <v>-0.28395045159904986</v>
      </c>
      <c r="E105" s="21">
        <f>(E106/D106)-1</f>
        <v>0.56457689063817829</v>
      </c>
      <c r="F105" s="21"/>
      <c r="G105" s="21"/>
      <c r="H105" s="21"/>
      <c r="I105" s="21"/>
      <c r="J105" s="21"/>
      <c r="K105" s="21"/>
      <c r="L105" s="40" t="s">
        <v>145</v>
      </c>
      <c r="M105" s="41">
        <f>(M100*M92)+(M102*M97)</f>
        <v>0.15003870000000002</v>
      </c>
    </row>
    <row r="106" spans="1:13" ht="19" x14ac:dyDescent="0.25">
      <c r="A106" s="5" t="s">
        <v>90</v>
      </c>
      <c r="B106" s="1">
        <v>-60166000</v>
      </c>
      <c r="C106" s="1">
        <v>-74513000</v>
      </c>
      <c r="D106" s="1">
        <f>+D87+D88</f>
        <v>-53355000</v>
      </c>
      <c r="E106" s="1">
        <f>+E87+E88</f>
        <v>-83478000</v>
      </c>
      <c r="F106" s="42">
        <f>E106*(1+$M$106)</f>
        <v>-98555996.783936337</v>
      </c>
      <c r="G106" s="42">
        <f t="shared" ref="G106:J106" si="6">F106*(1+$M$106)</f>
        <v>-116357417.54803984</v>
      </c>
      <c r="H106" s="42">
        <f t="shared" si="6"/>
        <v>-137374173.67032933</v>
      </c>
      <c r="I106" s="42">
        <f t="shared" si="6"/>
        <v>-162187026.7429609</v>
      </c>
      <c r="J106" s="42">
        <f t="shared" si="6"/>
        <v>-191481636.91122752</v>
      </c>
      <c r="K106" s="43" t="s">
        <v>146</v>
      </c>
      <c r="L106" s="44" t="s">
        <v>147</v>
      </c>
      <c r="M106" s="45">
        <f>(SUM(F4:J4)/5)</f>
        <v>0.18062240091924026</v>
      </c>
    </row>
    <row r="107" spans="1:13" ht="19" x14ac:dyDescent="0.25">
      <c r="A107" s="5"/>
      <c r="B107" s="13"/>
      <c r="C107" s="13"/>
      <c r="D107" s="13"/>
      <c r="F107" s="43"/>
      <c r="G107" s="43"/>
      <c r="H107" s="43"/>
      <c r="I107" s="43"/>
      <c r="J107" s="46">
        <f>J106*(1+M107)/(M108-M107)</f>
        <v>-1569663454.8664384</v>
      </c>
      <c r="K107" s="47" t="s">
        <v>148</v>
      </c>
      <c r="L107" s="48" t="s">
        <v>149</v>
      </c>
      <c r="M107" s="49">
        <v>2.5000000000000001E-2</v>
      </c>
    </row>
    <row r="108" spans="1:13" ht="19" x14ac:dyDescent="0.25">
      <c r="F108" s="46">
        <f t="shared" ref="F108:H108" si="7">F107+F106</f>
        <v>-98555996.783936337</v>
      </c>
      <c r="G108" s="46">
        <f t="shared" si="7"/>
        <v>-116357417.54803984</v>
      </c>
      <c r="H108" s="46">
        <f t="shared" si="7"/>
        <v>-137374173.67032933</v>
      </c>
      <c r="I108" s="46">
        <f>I107+I106</f>
        <v>-162187026.7429609</v>
      </c>
      <c r="J108" s="46">
        <f>J107+J106</f>
        <v>-1761145091.7776659</v>
      </c>
      <c r="K108" s="47" t="s">
        <v>143</v>
      </c>
      <c r="L108" s="50" t="s">
        <v>150</v>
      </c>
      <c r="M108" s="51">
        <f>M105</f>
        <v>0.15003870000000002</v>
      </c>
    </row>
    <row r="109" spans="1:13" ht="19" x14ac:dyDescent="0.25">
      <c r="F109" s="60" t="s">
        <v>151</v>
      </c>
      <c r="G109" s="61"/>
    </row>
    <row r="110" spans="1:13" ht="20" x14ac:dyDescent="0.25">
      <c r="F110" s="52" t="s">
        <v>152</v>
      </c>
      <c r="G110" s="38">
        <f>NPV(M108,F108,G108,H108,I108,J108)</f>
        <v>-1232163146.9783289</v>
      </c>
    </row>
    <row r="111" spans="1:13" ht="20" x14ac:dyDescent="0.25">
      <c r="F111" s="52" t="s">
        <v>153</v>
      </c>
      <c r="G111" s="38">
        <f>E40</f>
        <v>936651000</v>
      </c>
    </row>
    <row r="112" spans="1:13" ht="20" x14ac:dyDescent="0.25">
      <c r="F112" s="52" t="s">
        <v>139</v>
      </c>
      <c r="G112" s="38">
        <f>M99</f>
        <v>0</v>
      </c>
    </row>
    <row r="113" spans="6:7" ht="20" x14ac:dyDescent="0.25">
      <c r="F113" s="52" t="s">
        <v>154</v>
      </c>
      <c r="G113" s="38">
        <f>G110+G111-G112</f>
        <v>-295512146.97832894</v>
      </c>
    </row>
    <row r="114" spans="6:7" ht="20" x14ac:dyDescent="0.25">
      <c r="F114" s="52" t="s">
        <v>155</v>
      </c>
      <c r="G114" s="53">
        <f>E34*(1+(5*K16))</f>
        <v>174846431.29590282</v>
      </c>
    </row>
    <row r="115" spans="6:7" ht="20" x14ac:dyDescent="0.25">
      <c r="F115" s="54" t="s">
        <v>156</v>
      </c>
      <c r="G115" s="55">
        <f>G113/G114</f>
        <v>-1.6901239835900139</v>
      </c>
    </row>
    <row r="116" spans="6:7" ht="20" x14ac:dyDescent="0.25">
      <c r="F116" s="52" t="s">
        <v>157</v>
      </c>
      <c r="G116" s="56" cm="1">
        <f t="array" ref="G116">_FV(A1,"Price")</f>
        <v>32.93</v>
      </c>
    </row>
    <row r="117" spans="6:7" ht="20" x14ac:dyDescent="0.25">
      <c r="F117" s="57" t="s">
        <v>158</v>
      </c>
      <c r="G117" s="58">
        <f>G115/G116-1</f>
        <v>-1.0513247489702404</v>
      </c>
    </row>
    <row r="118" spans="6:7" ht="20" x14ac:dyDescent="0.25">
      <c r="F118" s="57" t="s">
        <v>159</v>
      </c>
      <c r="G118" s="59"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2023-04-23T07:08:39Z</dcterms:modified>
</cp:coreProperties>
</file>