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D5853CF-8BFB-B94E-BF9C-13EF466EA2F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6" i="1" l="1"/>
  <c r="Y106" i="1"/>
  <c r="Z106" i="1"/>
  <c r="AA106" i="1"/>
  <c r="W106" i="1"/>
  <c r="X116" i="1" a="1"/>
  <c r="X116" i="1" s="1"/>
  <c r="AD101" i="1" a="1"/>
  <c r="AD101" i="1" s="1"/>
  <c r="AD95" i="1" a="1"/>
  <c r="AD95" i="1" s="1"/>
  <c r="AD97" i="1" s="1"/>
  <c r="AD86" i="1"/>
  <c r="AD87" i="1"/>
  <c r="AD99" i="1"/>
  <c r="AD85" i="1"/>
  <c r="AD88" i="1"/>
  <c r="AD89" i="1"/>
  <c r="AD90" i="1"/>
  <c r="AD91" i="1"/>
  <c r="AD92" i="1"/>
  <c r="W108" i="1"/>
  <c r="X108" i="1"/>
  <c r="Y108" i="1"/>
  <c r="Z108" i="1"/>
  <c r="X111" i="1"/>
  <c r="X112" i="1"/>
  <c r="AB16" i="1"/>
  <c r="X114" i="1"/>
  <c r="W4" i="1"/>
  <c r="X4" i="1"/>
  <c r="Y4" i="1"/>
  <c r="Z4" i="1"/>
  <c r="AA4" i="1"/>
  <c r="AD106" i="1"/>
  <c r="AB19" i="1"/>
  <c r="AE13" i="1"/>
  <c r="AD13" i="1"/>
  <c r="AC13" i="1"/>
  <c r="AB13" i="1"/>
  <c r="AE10" i="1"/>
  <c r="AD10" i="1"/>
  <c r="AC10" i="1"/>
  <c r="AB10" i="1"/>
  <c r="AE7" i="1"/>
  <c r="AD7" i="1"/>
  <c r="AC7" i="1"/>
  <c r="AB7" i="1"/>
  <c r="AE4" i="1"/>
  <c r="AD4" i="1"/>
  <c r="AC4" i="1"/>
  <c r="AB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E16" i="1" l="1"/>
  <c r="AD16" i="1"/>
  <c r="AC16" i="1"/>
  <c r="AD103" i="1"/>
  <c r="AD100" i="1" s="1"/>
  <c r="AD102" i="1"/>
  <c r="AD105" i="1" l="1"/>
  <c r="AD108" i="1" s="1"/>
  <c r="X110" i="1" l="1"/>
  <c r="X113" i="1" s="1"/>
  <c r="X115" i="1" s="1"/>
  <c r="AA107" i="1"/>
  <c r="AA108" i="1" s="1"/>
  <c r="X117" i="1" l="1"/>
  <c r="X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<sst xmlns="http://schemas.openxmlformats.org/spreadsheetml/2006/main" count="667" uniqueCount="160">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</sst>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MELI</a:t>
            </a:r>
          </a:p>
        </c:rich>
      </c:tx>
      <c:layout>
        <c:manualLayout>
          <c:xMode val="edge"/>
          <c:yMode val="edge"/>
          <c:x val="0.46324121600574203"/>
          <c:y val="1.94647185372749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044916211048122E-2"/>
          <c:y val="0.10495808784599474"/>
          <c:w val="0.85106157967046214"/>
          <c:h val="0.756495860213689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9442000000</c:v>
                </c:pt>
              </c:numCache>
            </c:numRef>
          </c:val>
          <c:extLst>
            <c:ext xmlns:c16="http://schemas.microsoft.com/office/drawing/2014/chart" uri="{C3380CC4-5D6E-409C-BE32-E72D297353CC}">
              <c16:uniqueId val="{00000000-C4A3-BC45-A37D-B13D3236C8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-1900000</c:v>
                </c:pt>
                <c:pt idx="1">
                  <c:v>-2400000</c:v>
                </c:pt>
                <c:pt idx="2">
                  <c:v>-2206018</c:v>
                </c:pt>
                <c:pt idx="3">
                  <c:v>2557271</c:v>
                </c:pt>
                <c:pt idx="4">
                  <c:v>4331860</c:v>
                </c:pt>
                <c:pt idx="5">
                  <c:v>16728040</c:v>
                </c:pt>
                <c:pt idx="6">
                  <c:v>41224004</c:v>
                </c:pt>
                <c:pt idx="7">
                  <c:v>59964104</c:v>
                </c:pt>
                <c:pt idx="8">
                  <c:v>84388981</c:v>
                </c:pt>
                <c:pt idx="9">
                  <c:v>119356682</c:v>
                </c:pt>
                <c:pt idx="10">
                  <c:v>150216349</c:v>
                </c:pt>
                <c:pt idx="11">
                  <c:v>177325113</c:v>
                </c:pt>
                <c:pt idx="12">
                  <c:v>150329854</c:v>
                </c:pt>
                <c:pt idx="13">
                  <c:v>194091000</c:v>
                </c:pt>
                <c:pt idx="14">
                  <c:v>239955000</c:v>
                </c:pt>
                <c:pt idx="15">
                  <c:v>121460000</c:v>
                </c:pt>
                <c:pt idx="16">
                  <c:v>36589000</c:v>
                </c:pt>
                <c:pt idx="17">
                  <c:v>31950000</c:v>
                </c:pt>
                <c:pt idx="18">
                  <c:v>292997000</c:v>
                </c:pt>
                <c:pt idx="19">
                  <c:v>664752000</c:v>
                </c:pt>
                <c:pt idx="20">
                  <c:v>1504000000</c:v>
                </c:pt>
              </c:numCache>
            </c:numRef>
          </c:val>
          <c:extLst>
            <c:ext xmlns:c16="http://schemas.microsoft.com/office/drawing/2014/chart" uri="{C3380CC4-5D6E-409C-BE32-E72D297353CC}">
              <c16:uniqueId val="{00000001-C4A3-BC45-A37D-B13D3236C86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1'!$B$106:$V$106</c:f>
              <c:numCache>
                <c:formatCode>#,###,,;\(#,###,,\);\ \-\ \-</c:formatCode>
                <c:ptCount val="21"/>
                <c:pt idx="0">
                  <c:v>0</c:v>
                </c:pt>
                <c:pt idx="1">
                  <c:v>0</c:v>
                </c:pt>
                <c:pt idx="2">
                  <c:v>0</c:v>
                </c:pt>
                <c:pt idx="3">
                  <c:v>1434001</c:v>
                </c:pt>
                <c:pt idx="4">
                  <c:v>3714434</c:v>
                </c:pt>
                <c:pt idx="5">
                  <c:v>3675022</c:v>
                </c:pt>
                <c:pt idx="6">
                  <c:v>49583912</c:v>
                </c:pt>
                <c:pt idx="7">
                  <c:v>44947137</c:v>
                </c:pt>
                <c:pt idx="8">
                  <c:v>54265960</c:v>
                </c:pt>
                <c:pt idx="9">
                  <c:v>70220764</c:v>
                </c:pt>
                <c:pt idx="10">
                  <c:v>121752989</c:v>
                </c:pt>
                <c:pt idx="11">
                  <c:v>28298991</c:v>
                </c:pt>
                <c:pt idx="12">
                  <c:v>161510379</c:v>
                </c:pt>
                <c:pt idx="13">
                  <c:v>157094000</c:v>
                </c:pt>
                <c:pt idx="14">
                  <c:v>112889000</c:v>
                </c:pt>
                <c:pt idx="15">
                  <c:v>194126000</c:v>
                </c:pt>
                <c:pt idx="16">
                  <c:v>133153000</c:v>
                </c:pt>
                <c:pt idx="17">
                  <c:v>314221000</c:v>
                </c:pt>
                <c:pt idx="18">
                  <c:v>935411000</c:v>
                </c:pt>
                <c:pt idx="19">
                  <c:v>355547000</c:v>
                </c:pt>
                <c:pt idx="20">
                  <c:v>2486000000</c:v>
                </c:pt>
              </c:numCache>
            </c:numRef>
          </c:val>
          <c:extLst>
            <c:ext xmlns:c16="http://schemas.microsoft.com/office/drawing/2014/chart" uri="{C3380CC4-5D6E-409C-BE32-E72D297353CC}">
              <c16:uniqueId val="{00000002-C4A3-BC45-A37D-B13D3236C864}"/>
            </c:ext>
          </c:extLst>
        </c:ser>
        <c:dLbls>
          <c:showLegendKey val="0"/>
          <c:showVal val="0"/>
          <c:showCatName val="0"/>
          <c:showSerName val="0"/>
          <c:showPercent val="0"/>
          <c:showBubbleSize val="0"/>
        </c:dLbls>
        <c:gapWidth val="100"/>
        <c:overlap val="-24"/>
        <c:axId val="1553416992"/>
        <c:axId val="1553341136"/>
      </c:barChart>
      <c:catAx>
        <c:axId val="155341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341136"/>
        <c:crosses val="autoZero"/>
        <c:auto val="1"/>
        <c:lblAlgn val="ctr"/>
        <c:lblOffset val="100"/>
        <c:noMultiLvlLbl val="0"/>
      </c:catAx>
      <c:valAx>
        <c:axId val="15533411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416992"/>
        <c:crosses val="autoZero"/>
        <c:crossBetween val="between"/>
      </c:valAx>
      <c:spPr>
        <a:noFill/>
        <a:ln>
          <a:noFill/>
        </a:ln>
        <a:effectLst/>
      </c:spPr>
    </c:plotArea>
    <c:legend>
      <c:legendPos val="b"/>
      <c:layout>
        <c:manualLayout>
          <c:xMode val="edge"/>
          <c:yMode val="edge"/>
          <c:x val="0.34746463532279426"/>
          <c:y val="0.92538848121211892"/>
          <c:w val="0.30507072935441149"/>
          <c:h val="4.43330677298978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31750</xdr:colOff>
      <xdr:row>108</xdr:row>
      <xdr:rowOff>1587</xdr:rowOff>
    </xdr:from>
    <xdr:to>
      <xdr:col>29</xdr:col>
      <xdr:colOff>1555751</xdr:colOff>
      <xdr:row>134</xdr:row>
      <xdr:rowOff>47625</xdr:rowOff>
    </xdr:to>
    <xdr:graphicFrame macro="">
      <xdr:nvGraphicFramePr>
        <xdr:cNvPr id="2" name="Chart 1">
          <a:extLst>
            <a:ext uri="{FF2B5EF4-FFF2-40B4-BE49-F238E27FC236}">
              <a16:creationId xmlns:a16="http://schemas.microsoft.com/office/drawing/2014/main" id="{EF4DF39E-3023-91AA-F01E-353B25F29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1337.75</v>
    <v>600.68499999999995</v>
    <v>1.5730999999999999</v>
    <v>-11.85</v>
    <v>-9.1590000000000005E-3</v>
    <v>-0.52</v>
    <v>-4.0559999999999999E-4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1304.28</v>
    <v>Software &amp; IT Services</v>
    <v>Stock</v>
    <v>45037.994391654691</v>
    <v>0</v>
    <v>1268.1199999999999</v>
    <v>64426420000</v>
    <v>MERCADOLIBRE, INC.</v>
    <v>MERCADOLIBRE, INC.</v>
    <v>1296.23</v>
    <v>134.76730000000001</v>
    <v>1293.77</v>
    <v>1281.92</v>
    <v>1281.4000000000001</v>
    <v>50257750</v>
    <v>MELI</v>
    <v>MERCADOLIBRE, INC. (XNAS:MELI)</v>
    <v>262137</v>
    <v>379205</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P84" activePane="bottomRight" state="frozen"/>
      <selection pane="topRight"/>
      <selection pane="bottomLeft"/>
      <selection pane="bottomRight" activeCell="Y15" sqref="Y15"/>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9442000000</v>
      </c>
      <c r="W3" s="28">
        <v>13132000000</v>
      </c>
      <c r="X3" s="28">
        <v>16281000000</v>
      </c>
      <c r="Y3" s="28">
        <v>19625000000</v>
      </c>
      <c r="Z3" s="28">
        <v>22989000000</v>
      </c>
      <c r="AA3" s="28">
        <v>28407000000</v>
      </c>
      <c r="AB3" s="18" t="s">
        <v>109</v>
      </c>
      <c r="AC3" s="19" t="s">
        <v>110</v>
      </c>
      <c r="AD3" s="19" t="s">
        <v>111</v>
      </c>
      <c r="AE3" s="19" t="s">
        <v>112</v>
      </c>
    </row>
    <row r="4" spans="1:31" ht="19" x14ac:dyDescent="0.25">
      <c r="A4" s="14" t="s">
        <v>94</v>
      </c>
      <c r="B4" s="1"/>
      <c r="C4" s="15">
        <f>(C3/B3)-1</f>
        <v>2.2941176470588234</v>
      </c>
      <c r="D4" s="15">
        <f>(D3/C3)-1</f>
        <v>1.2613092857142858</v>
      </c>
      <c r="E4" s="15">
        <f>(E3/D3)-1</f>
        <v>1.2308249519162886</v>
      </c>
      <c r="F4" s="15">
        <f t="shared" ref="F4:AA4" si="0">(F3/E3)-1</f>
        <v>0.84281363641786067</v>
      </c>
      <c r="G4" s="15">
        <f t="shared" si="0"/>
        <v>0.63519316297370154</v>
      </c>
      <c r="H4" s="16">
        <f t="shared" si="0"/>
        <v>0.60963831395032009</v>
      </c>
      <c r="I4" s="16">
        <f t="shared" si="0"/>
        <v>0.26142399700137098</v>
      </c>
      <c r="J4" s="16">
        <f t="shared" si="0"/>
        <v>0.2538253465541549</v>
      </c>
      <c r="K4" s="16">
        <f t="shared" si="0"/>
        <v>0.37937217778020549</v>
      </c>
      <c r="L4" s="16">
        <f t="shared" si="0"/>
        <v>0.24978912485422033</v>
      </c>
      <c r="M4" s="16">
        <f t="shared" si="0"/>
        <v>0.26497007263038408</v>
      </c>
      <c r="N4" s="16">
        <f t="shared" si="0"/>
        <v>0.17761792800773812</v>
      </c>
      <c r="O4" s="16">
        <f t="shared" si="0"/>
        <v>0.17115514119066821</v>
      </c>
      <c r="P4" s="16">
        <f t="shared" si="0"/>
        <v>0.29550315285598128</v>
      </c>
      <c r="Q4" s="16">
        <f t="shared" si="0"/>
        <v>0.65573380262341363</v>
      </c>
      <c r="R4" s="16">
        <f t="shared" si="0"/>
        <v>2.9724732582549818E-2</v>
      </c>
      <c r="S4" s="16">
        <f t="shared" si="0"/>
        <v>0.59504686198688161</v>
      </c>
      <c r="T4" s="16">
        <f t="shared" si="0"/>
        <v>0.73036657878669908</v>
      </c>
      <c r="U4" s="16">
        <f t="shared" si="0"/>
        <v>0.77915471760793165</v>
      </c>
      <c r="V4" s="16">
        <f t="shared" si="0"/>
        <v>0.33561376912836693</v>
      </c>
      <c r="W4" s="16">
        <f t="shared" si="0"/>
        <v>0.3908070324083881</v>
      </c>
      <c r="X4" s="16">
        <f t="shared" si="0"/>
        <v>0.23979591836734704</v>
      </c>
      <c r="Y4" s="16">
        <f t="shared" si="0"/>
        <v>0.20539278914071613</v>
      </c>
      <c r="Z4" s="16">
        <f t="shared" si="0"/>
        <v>0.17141401273885348</v>
      </c>
      <c r="AA4" s="16">
        <f t="shared" si="0"/>
        <v>0.23567793292444206</v>
      </c>
      <c r="AB4" s="17">
        <f>(V4+U4+T4)/3</f>
        <v>0.61504502184099918</v>
      </c>
      <c r="AC4" s="17">
        <f>(V20+U20+T20)/3</f>
        <v>3.567261471338897</v>
      </c>
      <c r="AD4" s="17">
        <f>(V29+U29+T29)/3</f>
        <v>-38.345764237639422</v>
      </c>
      <c r="AE4" s="17">
        <f>(V105+U105+T105)/3</f>
        <v>2.4496870131200623</v>
      </c>
    </row>
    <row r="5" spans="1:31" ht="19" x14ac:dyDescent="0.25">
      <c r="A5" s="5" t="s">
        <v>2</v>
      </c>
      <c r="B5" s="1">
        <v>700000</v>
      </c>
      <c r="C5" s="1">
        <v>1100000</v>
      </c>
      <c r="D5" s="1" t="s">
        <v>92</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92</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18" t="s">
        <v>113</v>
      </c>
      <c r="AC6" s="19" t="s">
        <v>114</v>
      </c>
      <c r="AD6" s="19" t="s">
        <v>115</v>
      </c>
      <c r="AE6" s="19" t="s">
        <v>116</v>
      </c>
    </row>
    <row r="7" spans="1:31" ht="19" x14ac:dyDescent="0.25">
      <c r="A7" s="5" t="s">
        <v>4</v>
      </c>
      <c r="B7" s="2">
        <v>0.58819999999999995</v>
      </c>
      <c r="C7" s="2">
        <v>0.80359999999999998</v>
      </c>
      <c r="D7" s="2" t="s">
        <v>92</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v>0.54679999999999995</v>
      </c>
      <c r="AB7" s="17">
        <f>V7</f>
        <v>0.54679999999999995</v>
      </c>
      <c r="AC7" s="20">
        <f>V21</f>
        <v>0.1593</v>
      </c>
      <c r="AD7" s="20">
        <f>V30</f>
        <v>5.0999999999999997E-2</v>
      </c>
      <c r="AE7" s="20">
        <f>V106/V3</f>
        <v>0.26329167549248039</v>
      </c>
    </row>
    <row r="8" spans="1:31" ht="19" x14ac:dyDescent="0.25">
      <c r="A8" s="5" t="s">
        <v>5</v>
      </c>
      <c r="B8" s="1">
        <v>700000</v>
      </c>
      <c r="C8" s="1">
        <v>1000000</v>
      </c>
      <c r="D8" s="1" t="s">
        <v>92</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95</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0.11639483160347384</v>
      </c>
      <c r="AB9" s="18" t="s">
        <v>96</v>
      </c>
      <c r="AC9" s="19" t="s">
        <v>97</v>
      </c>
      <c r="AD9" s="19" t="s">
        <v>98</v>
      </c>
      <c r="AE9" s="19" t="s">
        <v>99</v>
      </c>
    </row>
    <row r="10" spans="1:31" ht="19" x14ac:dyDescent="0.25">
      <c r="A10" s="5" t="s">
        <v>6</v>
      </c>
      <c r="B10" s="1" t="s">
        <v>92</v>
      </c>
      <c r="C10" s="1" t="s">
        <v>92</v>
      </c>
      <c r="D10" s="1" t="s">
        <v>92</v>
      </c>
      <c r="E10" s="1" t="s">
        <v>92</v>
      </c>
      <c r="F10" s="1" t="s">
        <v>92</v>
      </c>
      <c r="G10" s="1" t="s">
        <v>92</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0.11639483160347384</v>
      </c>
      <c r="AC10" s="20">
        <f>V13</f>
        <v>0.20726540987079009</v>
      </c>
      <c r="AD10" s="20">
        <f>V80</f>
        <v>1.0590976488032197E-4</v>
      </c>
      <c r="AE10" s="20">
        <f>V89</f>
        <v>4.8083033255666173E-2</v>
      </c>
    </row>
    <row r="11" spans="1:31" ht="19" x14ac:dyDescent="0.25">
      <c r="A11" s="5" t="s">
        <v>7</v>
      </c>
      <c r="B11" s="1" t="s">
        <v>92</v>
      </c>
      <c r="C11" s="1">
        <v>4900000</v>
      </c>
      <c r="D11" s="1" t="s">
        <v>92</v>
      </c>
      <c r="E11" s="1" t="s">
        <v>92</v>
      </c>
      <c r="F11" s="1" t="s">
        <v>92</v>
      </c>
      <c r="G11" s="1" t="s">
        <v>92</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92</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117</v>
      </c>
      <c r="AC12" s="19" t="s">
        <v>118</v>
      </c>
      <c r="AD12" s="19" t="s">
        <v>119</v>
      </c>
      <c r="AE12" s="19" t="s">
        <v>120</v>
      </c>
    </row>
    <row r="13" spans="1:31" ht="19" x14ac:dyDescent="0.25">
      <c r="A13" s="14" t="s">
        <v>100</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0.20726540987079009</v>
      </c>
      <c r="AB13" s="17">
        <f>V28/V72</f>
        <v>0.26382047071702242</v>
      </c>
      <c r="AC13" s="20">
        <f>V28/V54</f>
        <v>3.5090273733255677E-2</v>
      </c>
      <c r="AD13" s="20">
        <f>V22/(V72+V56+V61)</f>
        <v>0.41643173580346354</v>
      </c>
      <c r="AE13" s="21">
        <f>V67/V72</f>
        <v>6.518336070060208</v>
      </c>
    </row>
    <row r="14" spans="1:31" ht="19" x14ac:dyDescent="0.25">
      <c r="A14" s="5" t="s">
        <v>9</v>
      </c>
      <c r="B14" s="1" t="s">
        <v>92</v>
      </c>
      <c r="C14" s="1">
        <v>2100000</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row>
    <row r="15" spans="1:31" ht="20" x14ac:dyDescent="0.25">
      <c r="A15" s="5" t="s">
        <v>10</v>
      </c>
      <c r="B15" s="1">
        <v>4000000</v>
      </c>
      <c r="C15" s="1">
        <v>8000000</v>
      </c>
      <c r="D15" s="1" t="s">
        <v>92</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121</v>
      </c>
      <c r="AC15" s="19" t="s">
        <v>122</v>
      </c>
      <c r="AD15" s="19" t="s">
        <v>123</v>
      </c>
      <c r="AE15" s="19" t="s">
        <v>124</v>
      </c>
    </row>
    <row r="16" spans="1:31" ht="19" x14ac:dyDescent="0.25">
      <c r="A16" s="5" t="s">
        <v>11</v>
      </c>
      <c r="B16" s="1">
        <v>4700000</v>
      </c>
      <c r="C16" s="1">
        <v>9100000</v>
      </c>
      <c r="D16" s="1" t="s">
        <v>92</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9">
        <f>(V35+U35+T35+S35+R35)/5</f>
        <v>2.4111484784167882E-2</v>
      </c>
      <c r="AC16" s="30">
        <f>AD101/V3</f>
        <v>6.8233869942808729</v>
      </c>
      <c r="AD16" s="30">
        <f>AD101/V28</f>
        <v>133.66477178423236</v>
      </c>
      <c r="AE16" s="31">
        <f>AD101/V106</f>
        <v>25.91569589702333</v>
      </c>
    </row>
    <row r="17" spans="1:28" ht="19" x14ac:dyDescent="0.25">
      <c r="A17" s="5" t="s">
        <v>12</v>
      </c>
      <c r="B17" s="1" t="s">
        <v>92</v>
      </c>
      <c r="C17" s="1" t="s">
        <v>92</v>
      </c>
      <c r="D17" s="1" t="s">
        <v>92</v>
      </c>
      <c r="E17" s="1" t="s">
        <v>92</v>
      </c>
      <c r="F17" s="1" t="s">
        <v>92</v>
      </c>
      <c r="G17" s="1" t="s">
        <v>92</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28" ht="20" x14ac:dyDescent="0.25">
      <c r="A18" s="5" t="s">
        <v>13</v>
      </c>
      <c r="B18" s="1">
        <v>600000</v>
      </c>
      <c r="C18" s="1">
        <v>800000</v>
      </c>
      <c r="D18" s="1" t="s">
        <v>92</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125</v>
      </c>
    </row>
    <row r="19" spans="1:28"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AB19" s="32">
        <f>V40-V56-V61</f>
        <v>3593000000</v>
      </c>
    </row>
    <row r="20" spans="1:28" ht="19" customHeight="1" x14ac:dyDescent="0.25">
      <c r="A20" s="14" t="s">
        <v>101</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row>
    <row r="21" spans="1:28" ht="19"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v>0.1593</v>
      </c>
    </row>
    <row r="22" spans="1:28"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row>
    <row r="23" spans="1:28"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v>0.1095</v>
      </c>
    </row>
    <row r="24" spans="1:28" ht="19" x14ac:dyDescent="0.25">
      <c r="A24" s="5" t="s">
        <v>18</v>
      </c>
      <c r="B24" s="1">
        <v>200000</v>
      </c>
      <c r="C24" s="1">
        <v>300000</v>
      </c>
      <c r="D24" s="1" t="s">
        <v>92</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28" ht="19" x14ac:dyDescent="0.25">
      <c r="A25" s="6" t="s">
        <v>19</v>
      </c>
      <c r="B25" s="10">
        <v>-2700000</v>
      </c>
      <c r="C25" s="10">
        <v>-3200000</v>
      </c>
      <c r="D25" s="10" t="s">
        <v>92</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28" ht="19" x14ac:dyDescent="0.25">
      <c r="A26" s="5" t="s">
        <v>20</v>
      </c>
      <c r="B26" s="2">
        <v>-1.5882000000000001</v>
      </c>
      <c r="C26" s="2">
        <v>-0.57140000000000002</v>
      </c>
      <c r="D26" s="2" t="s">
        <v>92</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28" ht="19" x14ac:dyDescent="0.25">
      <c r="A27" s="5" t="s">
        <v>21</v>
      </c>
      <c r="B27" s="1" t="s">
        <v>92</v>
      </c>
      <c r="C27" s="1" t="s">
        <v>92</v>
      </c>
      <c r="D27" s="1" t="s">
        <v>92</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28"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row>
    <row r="29" spans="1:28" ht="20" customHeight="1" thickTop="1" x14ac:dyDescent="0.25">
      <c r="A29" s="14" t="s">
        <v>102</v>
      </c>
      <c r="B29" s="1"/>
      <c r="C29" s="15">
        <f>(C28/B28)-1</f>
        <v>0.28000000000000003</v>
      </c>
      <c r="D29" s="15">
        <f>(D28/C28)-1</f>
        <v>-0.31061937500000003</v>
      </c>
      <c r="E29" s="15">
        <f>(E28/D28)-1</f>
        <v>-2.0671426978383676</v>
      </c>
      <c r="F29" s="15">
        <f t="shared" ref="F29:V29" si="4">(F28/E28)-1</f>
        <v>-0.5445959791617816</v>
      </c>
      <c r="G29" s="15">
        <f t="shared" si="4"/>
        <v>8.041221621833385</v>
      </c>
      <c r="H29" s="15">
        <f t="shared" si="4"/>
        <v>0.94075904730659632</v>
      </c>
      <c r="I29" s="15">
        <f t="shared" si="4"/>
        <v>0.76533018535683794</v>
      </c>
      <c r="J29" s="15">
        <f t="shared" si="4"/>
        <v>0.68705375711788141</v>
      </c>
      <c r="K29" s="15">
        <f t="shared" si="4"/>
        <v>0.37046009747894959</v>
      </c>
      <c r="L29" s="15">
        <f t="shared" si="4"/>
        <v>0.31866668547363464</v>
      </c>
      <c r="M29" s="15">
        <f t="shared" si="4"/>
        <v>0.16059826110124931</v>
      </c>
      <c r="N29" s="15">
        <f t="shared" si="4"/>
        <v>-0.38233228265941765</v>
      </c>
      <c r="O29" s="15">
        <f t="shared" si="4"/>
        <v>0.45753922424755356</v>
      </c>
      <c r="P29" s="15">
        <f t="shared" si="4"/>
        <v>0.28903761260622551</v>
      </c>
      <c r="Q29" s="15">
        <f t="shared" si="4"/>
        <v>-0.89894841822741745</v>
      </c>
      <c r="R29" s="15">
        <f t="shared" si="4"/>
        <v>-3.6549346879535558</v>
      </c>
      <c r="S29" s="15">
        <f t="shared" si="4"/>
        <v>3.7013530135301353</v>
      </c>
      <c r="T29" s="15">
        <f t="shared" si="4"/>
        <v>-0.99588951098552903</v>
      </c>
      <c r="U29" s="15">
        <f t="shared" si="4"/>
        <v>-118.82743988684582</v>
      </c>
      <c r="V29" s="15">
        <f t="shared" si="4"/>
        <v>4.7860366849130891</v>
      </c>
    </row>
    <row r="30" spans="1:28"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v>5.0999999999999997E-2</v>
      </c>
    </row>
    <row r="31" spans="1:28"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row>
    <row r="32" spans="1:28"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2"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row>
    <row r="34" spans="1:22"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row>
    <row r="35" spans="1:22" ht="20" customHeight="1" x14ac:dyDescent="0.25">
      <c r="A35" s="14" t="s">
        <v>103</v>
      </c>
      <c r="B35" s="1"/>
      <c r="C35" s="22">
        <f>(C34-B34)/B34</f>
        <v>-0.2651752839320935</v>
      </c>
      <c r="D35" s="22">
        <f t="shared" ref="D35:V35" si="5">(D34-C34)/C34</f>
        <v>0.23956559482020334</v>
      </c>
      <c r="E35" s="22">
        <f t="shared" si="5"/>
        <v>7.310678666685505E-2</v>
      </c>
      <c r="F35" s="22">
        <f t="shared" si="5"/>
        <v>-3.8198104519089872E-2</v>
      </c>
      <c r="G35" s="22">
        <f t="shared" si="5"/>
        <v>0.93764291334968775</v>
      </c>
      <c r="H35" s="22">
        <f t="shared" si="5"/>
        <v>0.7406533142509778</v>
      </c>
      <c r="I35" s="22">
        <f t="shared" si="5"/>
        <v>-4.6130066213518018E-3</v>
      </c>
      <c r="J35" s="22">
        <f t="shared" si="5"/>
        <v>5.6405836413832E-5</v>
      </c>
      <c r="K35" s="22">
        <f t="shared" si="5"/>
        <v>1.03721990815292E-4</v>
      </c>
      <c r="L35" s="22">
        <f t="shared" si="5"/>
        <v>-3.6216261771955465E-5</v>
      </c>
      <c r="M35" s="22">
        <f t="shared" si="5"/>
        <v>6.2559685949470533E-5</v>
      </c>
      <c r="N35" s="22">
        <f t="shared" si="5"/>
        <v>2.9080960124658569E-5</v>
      </c>
      <c r="O35" s="22">
        <f t="shared" si="5"/>
        <v>4.0675923323076178E-5</v>
      </c>
      <c r="P35" s="22">
        <f t="shared" si="5"/>
        <v>3.5578661680671657E-5</v>
      </c>
      <c r="Q35" s="22">
        <f t="shared" si="5"/>
        <v>2.5590361139102614E-6</v>
      </c>
      <c r="R35" s="22">
        <f t="shared" si="5"/>
        <v>8.4300774837918306E-3</v>
      </c>
      <c r="S35" s="22">
        <f t="shared" si="5"/>
        <v>9.3494904312442506E-2</v>
      </c>
      <c r="T35" s="22">
        <f t="shared" si="5"/>
        <v>2.1512394433801096E-2</v>
      </c>
      <c r="U35" s="22">
        <f t="shared" si="5"/>
        <v>-2.8799523091960224E-3</v>
      </c>
      <c r="V35" s="22">
        <f t="shared" si="5"/>
        <v>0</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t="s">
        <v>92</v>
      </c>
      <c r="C38" s="1" t="s">
        <v>92</v>
      </c>
      <c r="D38" s="1" t="s">
        <v>92</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2" ht="19" x14ac:dyDescent="0.25">
      <c r="A39" s="5" t="s">
        <v>31</v>
      </c>
      <c r="B39" s="1" t="s">
        <v>92</v>
      </c>
      <c r="C39" s="1" t="s">
        <v>92</v>
      </c>
      <c r="D39" s="1" t="s">
        <v>92</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2" ht="19" x14ac:dyDescent="0.25">
      <c r="A40" s="5" t="s">
        <v>32</v>
      </c>
      <c r="B40" s="1" t="s">
        <v>92</v>
      </c>
      <c r="C40" s="1" t="s">
        <v>92</v>
      </c>
      <c r="D40" s="1" t="s">
        <v>92</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2" ht="19" x14ac:dyDescent="0.25">
      <c r="A41" s="5" t="s">
        <v>33</v>
      </c>
      <c r="B41" s="1" t="s">
        <v>92</v>
      </c>
      <c r="C41" s="1" t="s">
        <v>92</v>
      </c>
      <c r="D41" s="1" t="s">
        <v>92</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2"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v>222000</v>
      </c>
      <c r="P42" s="1">
        <v>1103000</v>
      </c>
      <c r="Q42" s="1">
        <v>2549000</v>
      </c>
      <c r="R42" s="1">
        <v>4612000</v>
      </c>
      <c r="S42" s="1">
        <v>8626000</v>
      </c>
      <c r="T42" s="1">
        <v>118140000</v>
      </c>
      <c r="U42" s="1">
        <v>253077000</v>
      </c>
      <c r="V42" s="1">
        <v>152000000</v>
      </c>
    </row>
    <row r="43" spans="1:22" ht="19" x14ac:dyDescent="0.25">
      <c r="A43" s="5" t="s">
        <v>35</v>
      </c>
      <c r="B43" s="1" t="s">
        <v>92</v>
      </c>
      <c r="C43" s="1" t="s">
        <v>92</v>
      </c>
      <c r="D43" s="1" t="s">
        <v>92</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2" ht="19" x14ac:dyDescent="0.25">
      <c r="A44" s="6" t="s">
        <v>36</v>
      </c>
      <c r="B44" s="10" t="s">
        <v>92</v>
      </c>
      <c r="C44" s="10" t="s">
        <v>92</v>
      </c>
      <c r="D44" s="10" t="s">
        <v>92</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2" ht="19" x14ac:dyDescent="0.25">
      <c r="A45" s="5" t="s">
        <v>37</v>
      </c>
      <c r="B45" s="1" t="s">
        <v>92</v>
      </c>
      <c r="C45" s="1" t="s">
        <v>92</v>
      </c>
      <c r="D45" s="1" t="s">
        <v>92</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2" ht="19" x14ac:dyDescent="0.25">
      <c r="A46" s="5" t="s">
        <v>38</v>
      </c>
      <c r="B46" s="1" t="s">
        <v>92</v>
      </c>
      <c r="C46" s="1" t="s">
        <v>92</v>
      </c>
      <c r="D46" s="1" t="s">
        <v>92</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2" ht="19" x14ac:dyDescent="0.25">
      <c r="A47" s="5" t="s">
        <v>39</v>
      </c>
      <c r="B47" s="1" t="s">
        <v>92</v>
      </c>
      <c r="C47" s="1" t="s">
        <v>92</v>
      </c>
      <c r="D47" s="1" t="s">
        <v>92</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2" ht="19" x14ac:dyDescent="0.25">
      <c r="A48" s="5" t="s">
        <v>40</v>
      </c>
      <c r="B48" s="1" t="s">
        <v>92</v>
      </c>
      <c r="C48" s="1" t="s">
        <v>92</v>
      </c>
      <c r="D48" s="1" t="s">
        <v>92</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92</v>
      </c>
      <c r="C49" s="1" t="s">
        <v>92</v>
      </c>
      <c r="D49" s="1" t="s">
        <v>92</v>
      </c>
      <c r="E49" s="1" t="s">
        <v>92</v>
      </c>
      <c r="F49" s="1" t="s">
        <v>92</v>
      </c>
      <c r="G49" s="1" t="s">
        <v>92</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92</v>
      </c>
      <c r="C50" s="1" t="s">
        <v>92</v>
      </c>
      <c r="D50" s="1" t="s">
        <v>92</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92</v>
      </c>
      <c r="C51" s="1" t="s">
        <v>92</v>
      </c>
      <c r="D51" s="1" t="s">
        <v>92</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92</v>
      </c>
      <c r="C52" s="1" t="s">
        <v>92</v>
      </c>
      <c r="D52" s="1" t="s">
        <v>92</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92</v>
      </c>
      <c r="C53" s="1">
        <v>27300000</v>
      </c>
      <c r="D53" s="1">
        <v>24100000</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t="s">
        <v>92</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92</v>
      </c>
      <c r="C55" s="1" t="s">
        <v>92</v>
      </c>
      <c r="D55" s="1" t="s">
        <v>92</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92</v>
      </c>
      <c r="C56" s="1" t="s">
        <v>92</v>
      </c>
      <c r="D56" s="1" t="s">
        <v>92</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92</v>
      </c>
      <c r="C57" s="1" t="s">
        <v>92</v>
      </c>
      <c r="D57" s="1" t="s">
        <v>92</v>
      </c>
      <c r="E57" s="1" t="s">
        <v>92</v>
      </c>
      <c r="F57" s="1" t="s">
        <v>92</v>
      </c>
      <c r="G57" s="1" t="s">
        <v>92</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v>20465000</v>
      </c>
      <c r="S58" s="1">
        <v>107256000</v>
      </c>
      <c r="T58" s="1">
        <v>86614000</v>
      </c>
      <c r="U58" s="1">
        <v>67293000</v>
      </c>
      <c r="V58" s="1" t="s">
        <v>92</v>
      </c>
    </row>
    <row r="59" spans="1:22" ht="19" x14ac:dyDescent="0.25">
      <c r="A59" s="5" t="s">
        <v>51</v>
      </c>
      <c r="B59" s="1" t="s">
        <v>92</v>
      </c>
      <c r="C59" s="1" t="s">
        <v>92</v>
      </c>
      <c r="D59" s="1" t="s">
        <v>92</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92</v>
      </c>
      <c r="C60" s="10" t="s">
        <v>92</v>
      </c>
      <c r="D60" s="10" t="s">
        <v>92</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92</v>
      </c>
      <c r="C61" s="1" t="s">
        <v>92</v>
      </c>
      <c r="D61" s="1" t="s">
        <v>92</v>
      </c>
      <c r="E61" s="1">
        <v>12000000</v>
      </c>
      <c r="F61" s="1">
        <v>9000000</v>
      </c>
      <c r="G61" s="1" t="s">
        <v>92</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11469000</v>
      </c>
      <c r="V62" s="1" t="s">
        <v>92</v>
      </c>
    </row>
    <row r="63" spans="1:22" ht="19" x14ac:dyDescent="0.25">
      <c r="A63" s="5" t="s">
        <v>54</v>
      </c>
      <c r="B63" s="1" t="s">
        <v>92</v>
      </c>
      <c r="C63" s="1" t="s">
        <v>92</v>
      </c>
      <c r="D63" s="1" t="s">
        <v>92</v>
      </c>
      <c r="E63" s="1" t="s">
        <v>92</v>
      </c>
      <c r="F63" s="1" t="s">
        <v>92</v>
      </c>
      <c r="G63" s="1" t="s">
        <v>92</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92</v>
      </c>
      <c r="C64" s="1" t="s">
        <v>92</v>
      </c>
      <c r="D64" s="1" t="s">
        <v>92</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92</v>
      </c>
      <c r="C65" s="1" t="s">
        <v>92</v>
      </c>
      <c r="D65" s="1" t="s">
        <v>92</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92</v>
      </c>
      <c r="C66" s="1">
        <v>64100000</v>
      </c>
      <c r="D66" s="1">
        <v>65000000</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t="s">
        <v>92</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92</v>
      </c>
      <c r="C68" s="1">
        <v>100000</v>
      </c>
      <c r="D68" s="1" t="s">
        <v>92</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92</v>
      </c>
    </row>
    <row r="69" spans="1:22" ht="19" x14ac:dyDescent="0.25">
      <c r="A69" s="5" t="s">
        <v>60</v>
      </c>
      <c r="B69" s="1" t="s">
        <v>92</v>
      </c>
      <c r="C69" s="1" t="s">
        <v>92</v>
      </c>
      <c r="D69" s="1" t="s">
        <v>92</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92</v>
      </c>
      <c r="C70" s="1" t="s">
        <v>92</v>
      </c>
      <c r="D70" s="1" t="s">
        <v>92</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92</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92</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92</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t="s">
        <v>92</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92</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92</v>
      </c>
      <c r="C78" s="1" t="s">
        <v>92</v>
      </c>
      <c r="D78" s="1" t="s">
        <v>92</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92</v>
      </c>
      <c r="C79" s="1" t="s">
        <v>92</v>
      </c>
      <c r="D79" s="1" t="s">
        <v>92</v>
      </c>
      <c r="E79" s="1" t="s">
        <v>92</v>
      </c>
      <c r="F79" s="1" t="s">
        <v>92</v>
      </c>
      <c r="G79" s="1" t="s">
        <v>92</v>
      </c>
      <c r="H79" s="1">
        <v>949582</v>
      </c>
      <c r="I79" s="1">
        <v>76134</v>
      </c>
      <c r="J79" s="1">
        <v>37940</v>
      </c>
      <c r="K79" s="1" t="s">
        <v>92</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104</v>
      </c>
      <c r="B80" s="15" t="e">
        <f t="shared" ref="B80:V80" si="6">B79/B3</f>
        <v>#VALUE!</v>
      </c>
      <c r="C80" s="15" t="e">
        <f t="shared" si="6"/>
        <v>#VALUE!</v>
      </c>
      <c r="D80" s="15" t="e">
        <f t="shared" si="6"/>
        <v>#VALUE!</v>
      </c>
      <c r="E80" s="15" t="e">
        <f t="shared" si="6"/>
        <v>#VALUE!</v>
      </c>
      <c r="F80" s="15" t="e">
        <f t="shared" si="6"/>
        <v>#VALUE!</v>
      </c>
      <c r="G80" s="15" t="e">
        <f t="shared" si="6"/>
        <v>#VALUE!</v>
      </c>
      <c r="H80" s="15">
        <f t="shared" si="6"/>
        <v>6.9301112473254415E-3</v>
      </c>
      <c r="I80" s="15">
        <f t="shared" si="6"/>
        <v>4.4047908484861004E-4</v>
      </c>
      <c r="J80" s="15">
        <f t="shared" si="6"/>
        <v>1.750680625543751E-4</v>
      </c>
      <c r="K80" s="15" t="e">
        <f t="shared" si="6"/>
        <v>#VALUE!</v>
      </c>
      <c r="L80" s="15">
        <f t="shared" si="6"/>
        <v>1.1891874286776809E-2</v>
      </c>
      <c r="M80" s="15">
        <f t="shared" si="6"/>
        <v>2.4640726563868492E-2</v>
      </c>
      <c r="N80" s="15">
        <f t="shared" si="6"/>
        <v>2.1295324933893495E-2</v>
      </c>
      <c r="O80" s="15">
        <f t="shared" si="6"/>
        <v>1.5669157243897575E-2</v>
      </c>
      <c r="P80" s="15">
        <f t="shared" si="6"/>
        <v>2.7218271995603959E-2</v>
      </c>
      <c r="Q80" s="15">
        <f t="shared" si="6"/>
        <v>2.554833541354486E-2</v>
      </c>
      <c r="R80" s="15">
        <f t="shared" si="6"/>
        <v>1.9119190527161753E-2</v>
      </c>
      <c r="S80" s="15">
        <f t="shared" si="6"/>
        <v>2.266980909405247E-2</v>
      </c>
      <c r="T80" s="15">
        <f t="shared" si="6"/>
        <v>3.2793795843174663E-2</v>
      </c>
      <c r="U80" s="15">
        <f t="shared" si="6"/>
        <v>1.2653532989815697E-2</v>
      </c>
      <c r="V80" s="15">
        <f t="shared" si="6"/>
        <v>1.0590976488032197E-4</v>
      </c>
    </row>
    <row r="81" spans="1:30" ht="19" x14ac:dyDescent="0.25">
      <c r="A81" s="5" t="s">
        <v>69</v>
      </c>
      <c r="B81" s="1" t="s">
        <v>92</v>
      </c>
      <c r="C81" s="1" t="s">
        <v>92</v>
      </c>
      <c r="D81" s="1" t="s">
        <v>92</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92</v>
      </c>
      <c r="C82" s="1" t="s">
        <v>92</v>
      </c>
      <c r="D82" s="1" t="s">
        <v>92</v>
      </c>
      <c r="E82" s="1" t="s">
        <v>92</v>
      </c>
      <c r="F82" s="1" t="s">
        <v>92</v>
      </c>
      <c r="G82" s="1" t="s">
        <v>92</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v>-237000</v>
      </c>
      <c r="P83" s="1">
        <v>-787000</v>
      </c>
      <c r="Q83" s="1">
        <v>-1549000</v>
      </c>
      <c r="R83" s="1">
        <v>-3015000</v>
      </c>
      <c r="S83" s="1">
        <v>-4148000</v>
      </c>
      <c r="T83" s="1">
        <v>-106981000</v>
      </c>
      <c r="U83" s="1">
        <v>-142382000</v>
      </c>
      <c r="V83" s="1">
        <v>114000000</v>
      </c>
      <c r="AC83" s="59" t="s">
        <v>126</v>
      </c>
      <c r="AD83" s="60"/>
    </row>
    <row r="84" spans="1:30" ht="19" x14ac:dyDescent="0.25">
      <c r="A84" s="5" t="s">
        <v>47</v>
      </c>
      <c r="B84" s="1" t="s">
        <v>92</v>
      </c>
      <c r="C84" s="1" t="s">
        <v>92</v>
      </c>
      <c r="D84" s="1" t="s">
        <v>92</v>
      </c>
      <c r="E84" s="1" t="s">
        <v>92</v>
      </c>
      <c r="F84" s="1" t="s">
        <v>92</v>
      </c>
      <c r="G84" s="1" t="s">
        <v>92</v>
      </c>
      <c r="H84" s="1" t="s">
        <v>92</v>
      </c>
      <c r="I84" s="1" t="s">
        <v>92</v>
      </c>
      <c r="J84" s="1" t="s">
        <v>92</v>
      </c>
      <c r="K84" s="1" t="s">
        <v>92</v>
      </c>
      <c r="L84" s="1">
        <v>18061683</v>
      </c>
      <c r="M84" s="1">
        <v>26037488</v>
      </c>
      <c r="N84" s="1">
        <v>68780586</v>
      </c>
      <c r="O84" s="1">
        <v>63668000</v>
      </c>
      <c r="P84" s="1">
        <v>47980000</v>
      </c>
      <c r="Q84" s="1">
        <v>150215000</v>
      </c>
      <c r="R84" s="1">
        <v>90123000</v>
      </c>
      <c r="S84" s="1">
        <v>143495000</v>
      </c>
      <c r="T84" s="1">
        <v>584281000</v>
      </c>
      <c r="U84" s="1">
        <v>688845000</v>
      </c>
      <c r="V84" s="1" t="s">
        <v>92</v>
      </c>
      <c r="AC84" s="61" t="s">
        <v>127</v>
      </c>
      <c r="AD84" s="62"/>
    </row>
    <row r="85" spans="1:30" ht="20" x14ac:dyDescent="0.25">
      <c r="A85" s="5" t="s">
        <v>71</v>
      </c>
      <c r="B85" s="1" t="s">
        <v>92</v>
      </c>
      <c r="C85" s="1" t="s">
        <v>92</v>
      </c>
      <c r="D85" s="1" t="s">
        <v>92</v>
      </c>
      <c r="E85" s="1">
        <v>-33456</v>
      </c>
      <c r="F85" s="1">
        <v>227111</v>
      </c>
      <c r="G85" s="1">
        <v>-278110</v>
      </c>
      <c r="H85" s="1">
        <v>-1277664</v>
      </c>
      <c r="I85" s="1">
        <v>-2911041</v>
      </c>
      <c r="J85" s="1">
        <v>-3796601</v>
      </c>
      <c r="K85" s="1">
        <v>-6042140</v>
      </c>
      <c r="L85" s="1" t="s">
        <v>92</v>
      </c>
      <c r="M85" s="1" t="s">
        <v>92</v>
      </c>
      <c r="N85" s="1" t="s">
        <v>92</v>
      </c>
      <c r="O85" s="1" t="s">
        <v>92</v>
      </c>
      <c r="P85" s="1" t="s">
        <v>92</v>
      </c>
      <c r="Q85" s="1" t="s">
        <v>92</v>
      </c>
      <c r="R85" s="1" t="s">
        <v>92</v>
      </c>
      <c r="S85" s="1" t="s">
        <v>92</v>
      </c>
      <c r="T85" s="1" t="s">
        <v>92</v>
      </c>
      <c r="U85" s="1" t="s">
        <v>92</v>
      </c>
      <c r="V85" s="1" t="s">
        <v>92</v>
      </c>
      <c r="AC85" s="23" t="s">
        <v>128</v>
      </c>
      <c r="AD85" s="24">
        <f>V17</f>
        <v>321000000</v>
      </c>
    </row>
    <row r="86" spans="1:30" ht="20" x14ac:dyDescent="0.25">
      <c r="A86" s="5" t="s">
        <v>72</v>
      </c>
      <c r="B86" s="1" t="s">
        <v>92</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92</v>
      </c>
      <c r="AC86" s="23" t="s">
        <v>129</v>
      </c>
      <c r="AD86" s="24">
        <f>V56</f>
        <v>142000000</v>
      </c>
    </row>
    <row r="87" spans="1:30" ht="20" x14ac:dyDescent="0.25">
      <c r="A87" s="6" t="s">
        <v>73</v>
      </c>
      <c r="B87" s="10" t="s">
        <v>92</v>
      </c>
      <c r="C87" s="10" t="s">
        <v>92</v>
      </c>
      <c r="D87" s="10" t="s">
        <v>92</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AC87" s="23" t="s">
        <v>130</v>
      </c>
      <c r="AD87" s="24">
        <f>V61</f>
        <v>514000000</v>
      </c>
    </row>
    <row r="88" spans="1:30" ht="20" x14ac:dyDescent="0.25">
      <c r="A88" s="5" t="s">
        <v>74</v>
      </c>
      <c r="B88" s="1" t="s">
        <v>92</v>
      </c>
      <c r="C88" s="1" t="s">
        <v>92</v>
      </c>
      <c r="D88" s="1" t="s">
        <v>92</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AC88" s="33" t="s">
        <v>131</v>
      </c>
      <c r="AD88" s="34">
        <f>AD85/(AD86+AD87)</f>
        <v>0.48932926829268292</v>
      </c>
    </row>
    <row r="89" spans="1:30" ht="20" customHeight="1" x14ac:dyDescent="0.25">
      <c r="A89" s="14" t="s">
        <v>105</v>
      </c>
      <c r="B89" s="15" t="e">
        <f t="shared" ref="B89:V89" si="7">(-1*B88)/B3</f>
        <v>#VALUE!</v>
      </c>
      <c r="C89" s="15" t="e">
        <f t="shared" si="7"/>
        <v>#VALUE!</v>
      </c>
      <c r="D89" s="15" t="e">
        <f t="shared" si="7"/>
        <v>#VALUE!</v>
      </c>
      <c r="E89" s="15">
        <f t="shared" si="7"/>
        <v>7.0960209562750051E-2</v>
      </c>
      <c r="F89" s="15">
        <f t="shared" si="7"/>
        <v>4.6945295990752013E-2</v>
      </c>
      <c r="G89" s="15">
        <f t="shared" si="7"/>
        <v>3.6270336111357118E-2</v>
      </c>
      <c r="H89" s="15">
        <f t="shared" si="7"/>
        <v>3.5796943599531228E-2</v>
      </c>
      <c r="I89" s="15">
        <f t="shared" si="7"/>
        <v>2.1974603274482429E-2</v>
      </c>
      <c r="J89" s="15">
        <f t="shared" si="7"/>
        <v>6.0974088205593101E-2</v>
      </c>
      <c r="K89" s="15">
        <f t="shared" si="7"/>
        <v>6.3305985106125853E-2</v>
      </c>
      <c r="L89" s="15">
        <f t="shared" si="7"/>
        <v>4.4827834655286468E-2</v>
      </c>
      <c r="M89" s="15">
        <f t="shared" si="7"/>
        <v>0.24070427331000863</v>
      </c>
      <c r="N89" s="15">
        <f t="shared" si="7"/>
        <v>6.1857556162197749E-2</v>
      </c>
      <c r="O89" s="15">
        <f t="shared" si="7"/>
        <v>9.5935807545375049E-2</v>
      </c>
      <c r="P89" s="15">
        <f t="shared" si="7"/>
        <v>9.1117200934158857E-2</v>
      </c>
      <c r="Q89" s="15">
        <f t="shared" si="7"/>
        <v>5.3537849716936259E-2</v>
      </c>
      <c r="R89" s="15">
        <f t="shared" si="7"/>
        <v>6.7767719026737699E-2</v>
      </c>
      <c r="S89" s="15">
        <f t="shared" si="7"/>
        <v>5.9572863293086226E-2</v>
      </c>
      <c r="T89" s="15">
        <f t="shared" si="7"/>
        <v>6.2174449756069325E-2</v>
      </c>
      <c r="U89" s="15">
        <f t="shared" si="7"/>
        <v>8.1043408296223918E-2</v>
      </c>
      <c r="V89" s="15">
        <f t="shared" si="7"/>
        <v>4.8083033255666173E-2</v>
      </c>
      <c r="AC89" s="23" t="s">
        <v>106</v>
      </c>
      <c r="AD89" s="24">
        <f>V27</f>
        <v>298000000</v>
      </c>
    </row>
    <row r="90" spans="1:30" ht="20" x14ac:dyDescent="0.25">
      <c r="A90" s="5" t="s">
        <v>75</v>
      </c>
      <c r="B90" s="1" t="s">
        <v>92</v>
      </c>
      <c r="C90" s="1" t="s">
        <v>92</v>
      </c>
      <c r="D90" s="1" t="s">
        <v>92</v>
      </c>
      <c r="E90" s="1">
        <v>-12141243</v>
      </c>
      <c r="F90" s="1" t="s">
        <v>92</v>
      </c>
      <c r="G90" s="1" t="s">
        <v>92</v>
      </c>
      <c r="H90" s="1">
        <v>-39181473</v>
      </c>
      <c r="I90" s="1" t="s">
        <v>92</v>
      </c>
      <c r="J90" s="1" t="s">
        <v>92</v>
      </c>
      <c r="K90" s="1">
        <v>-5468180</v>
      </c>
      <c r="L90" s="1" t="s">
        <v>92</v>
      </c>
      <c r="M90" s="1">
        <v>-3423439</v>
      </c>
      <c r="N90" s="1">
        <v>-40814136</v>
      </c>
      <c r="O90" s="1">
        <v>-45009000</v>
      </c>
      <c r="P90" s="1">
        <v>-7284000</v>
      </c>
      <c r="Q90" s="1">
        <v>-35798000</v>
      </c>
      <c r="R90" s="1">
        <v>-4195000</v>
      </c>
      <c r="S90" s="1" t="s">
        <v>92</v>
      </c>
      <c r="T90" s="1">
        <v>-6937000</v>
      </c>
      <c r="U90" s="1">
        <v>-55728000</v>
      </c>
      <c r="V90" s="1" t="s">
        <v>92</v>
      </c>
      <c r="AC90" s="23" t="s">
        <v>19</v>
      </c>
      <c r="AD90" s="24">
        <f>V25</f>
        <v>780000000</v>
      </c>
    </row>
    <row r="91" spans="1:30" ht="20" x14ac:dyDescent="0.25">
      <c r="A91" s="5" t="s">
        <v>76</v>
      </c>
      <c r="B91" s="1" t="s">
        <v>92</v>
      </c>
      <c r="C91" s="1" t="s">
        <v>92</v>
      </c>
      <c r="D91" s="1" t="s">
        <v>92</v>
      </c>
      <c r="E91" s="1" t="s">
        <v>92</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AC91" s="33" t="s">
        <v>132</v>
      </c>
      <c r="AD91" s="34">
        <f>AD89/AD90</f>
        <v>0.38205128205128203</v>
      </c>
    </row>
    <row r="92" spans="1:30" ht="20" x14ac:dyDescent="0.25">
      <c r="A92" s="5" t="s">
        <v>77</v>
      </c>
      <c r="B92" s="1" t="s">
        <v>92</v>
      </c>
      <c r="C92" s="1" t="s">
        <v>92</v>
      </c>
      <c r="D92" s="1" t="s">
        <v>92</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AC92" s="35" t="s">
        <v>133</v>
      </c>
      <c r="AD92" s="36">
        <f>AD88*(1-AD91)</f>
        <v>0.30238039399624767</v>
      </c>
    </row>
    <row r="93" spans="1:30" ht="19" x14ac:dyDescent="0.25">
      <c r="A93" s="5" t="s">
        <v>78</v>
      </c>
      <c r="B93" s="1" t="s">
        <v>92</v>
      </c>
      <c r="C93" s="1" t="s">
        <v>92</v>
      </c>
      <c r="D93" s="1" t="s">
        <v>92</v>
      </c>
      <c r="E93" s="1" t="s">
        <v>92</v>
      </c>
      <c r="F93" s="1" t="s">
        <v>92</v>
      </c>
      <c r="G93" s="1" t="s">
        <v>92</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AC93" s="61" t="s">
        <v>134</v>
      </c>
      <c r="AD93" s="62"/>
    </row>
    <row r="94" spans="1:30" ht="20" x14ac:dyDescent="0.25">
      <c r="A94" s="6" t="s">
        <v>79</v>
      </c>
      <c r="B94" s="10" t="s">
        <v>92</v>
      </c>
      <c r="C94" s="10" t="s">
        <v>92</v>
      </c>
      <c r="D94" s="10" t="s">
        <v>92</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AC94" s="23" t="s">
        <v>135</v>
      </c>
      <c r="AD94" s="37">
        <v>4.095E-2</v>
      </c>
    </row>
    <row r="95" spans="1:30" ht="20" x14ac:dyDescent="0.25">
      <c r="A95" s="5" t="s">
        <v>80</v>
      </c>
      <c r="B95" s="1" t="s">
        <v>92</v>
      </c>
      <c r="C95" s="1" t="s">
        <v>92</v>
      </c>
      <c r="D95" s="1" t="s">
        <v>92</v>
      </c>
      <c r="E95" s="1" t="s">
        <v>92</v>
      </c>
      <c r="F95" s="1" t="s">
        <v>92</v>
      </c>
      <c r="G95" s="1" t="s">
        <v>92</v>
      </c>
      <c r="H95" s="1">
        <v>-9137223</v>
      </c>
      <c r="I95" s="1">
        <v>-15310634</v>
      </c>
      <c r="J95" s="1">
        <v>-3000000</v>
      </c>
      <c r="K95" s="1" t="s">
        <v>92</v>
      </c>
      <c r="L95" s="1" t="s">
        <v>92</v>
      </c>
      <c r="M95" s="1">
        <v>-15936551</v>
      </c>
      <c r="N95" s="1">
        <v>-7704636</v>
      </c>
      <c r="O95" s="1">
        <v>-9059000</v>
      </c>
      <c r="P95" s="1">
        <v>-6684000</v>
      </c>
      <c r="Q95" s="1">
        <v>-5004000</v>
      </c>
      <c r="R95" s="1">
        <v>-472268000</v>
      </c>
      <c r="S95" s="1">
        <v>-474851000</v>
      </c>
      <c r="T95" s="1">
        <v>-1790221000</v>
      </c>
      <c r="U95" s="1">
        <v>-8663212000</v>
      </c>
      <c r="V95" s="1">
        <v>-20000000</v>
      </c>
      <c r="AC95" s="23" t="s">
        <v>136</v>
      </c>
      <c r="AD95" s="38" cm="1">
        <f t="array" ref="AD95">_FV(A1,"Beta")</f>
        <v>1.5730999999999999</v>
      </c>
    </row>
    <row r="96" spans="1:30" ht="20" x14ac:dyDescent="0.25">
      <c r="A96" s="5" t="s">
        <v>81</v>
      </c>
      <c r="B96" s="1" t="s">
        <v>92</v>
      </c>
      <c r="C96" s="1" t="s">
        <v>92</v>
      </c>
      <c r="D96" s="1" t="s">
        <v>92</v>
      </c>
      <c r="E96" s="1">
        <v>9003</v>
      </c>
      <c r="F96" s="1">
        <v>7107</v>
      </c>
      <c r="G96" s="1">
        <v>50361806</v>
      </c>
      <c r="H96" s="1" t="s">
        <v>92</v>
      </c>
      <c r="I96" s="1" t="s">
        <v>92</v>
      </c>
      <c r="J96" s="1" t="s">
        <v>92</v>
      </c>
      <c r="K96" s="1" t="s">
        <v>92</v>
      </c>
      <c r="L96" s="1" t="s">
        <v>92</v>
      </c>
      <c r="M96" s="1" t="s">
        <v>92</v>
      </c>
      <c r="N96" s="1" t="s">
        <v>92</v>
      </c>
      <c r="O96" s="1" t="s">
        <v>92</v>
      </c>
      <c r="P96" s="1" t="s">
        <v>92</v>
      </c>
      <c r="Q96" s="1" t="s">
        <v>92</v>
      </c>
      <c r="R96" s="1" t="s">
        <v>92</v>
      </c>
      <c r="S96" s="1">
        <v>1867215000</v>
      </c>
      <c r="T96" s="1" t="s">
        <v>92</v>
      </c>
      <c r="U96" s="1">
        <v>1519545000</v>
      </c>
      <c r="V96" s="1" t="s">
        <v>92</v>
      </c>
      <c r="AC96" s="23" t="s">
        <v>137</v>
      </c>
      <c r="AD96" s="37">
        <v>8.4000000000000005E-2</v>
      </c>
    </row>
    <row r="97" spans="1:30" ht="20" x14ac:dyDescent="0.25">
      <c r="A97" s="5" t="s">
        <v>82</v>
      </c>
      <c r="B97" s="1" t="s">
        <v>92</v>
      </c>
      <c r="C97" s="1" t="s">
        <v>92</v>
      </c>
      <c r="D97" s="1" t="s">
        <v>92</v>
      </c>
      <c r="E97" s="1" t="s">
        <v>92</v>
      </c>
      <c r="F97" s="1" t="s">
        <v>92</v>
      </c>
      <c r="G97" s="1" t="s">
        <v>92</v>
      </c>
      <c r="H97" s="1">
        <v>-2598223</v>
      </c>
      <c r="I97" s="1" t="s">
        <v>92</v>
      </c>
      <c r="J97" s="1" t="s">
        <v>92</v>
      </c>
      <c r="K97" s="1" t="s">
        <v>92</v>
      </c>
      <c r="L97" s="1" t="s">
        <v>92</v>
      </c>
      <c r="M97" s="1">
        <v>-1012225</v>
      </c>
      <c r="N97" s="1">
        <v>-1944307</v>
      </c>
      <c r="O97" s="1">
        <v>-2714000</v>
      </c>
      <c r="P97" s="1" t="s">
        <v>92</v>
      </c>
      <c r="Q97" s="1" t="s">
        <v>92</v>
      </c>
      <c r="R97" s="1" t="s">
        <v>92</v>
      </c>
      <c r="S97" s="1">
        <v>-720000</v>
      </c>
      <c r="T97" s="1">
        <v>-54085000</v>
      </c>
      <c r="U97" s="1">
        <v>-485886000</v>
      </c>
      <c r="V97" s="1">
        <v>-148000000</v>
      </c>
      <c r="AC97" s="35" t="s">
        <v>138</v>
      </c>
      <c r="AD97" s="36">
        <f>(AD94)+((AD95)*(AD96-AD94))</f>
        <v>0.108671955</v>
      </c>
    </row>
    <row r="98" spans="1:30" ht="19" x14ac:dyDescent="0.25">
      <c r="A98" s="5" t="s">
        <v>83</v>
      </c>
      <c r="B98" s="1" t="s">
        <v>92</v>
      </c>
      <c r="C98" s="1" t="s">
        <v>92</v>
      </c>
      <c r="D98" s="1" t="s">
        <v>92</v>
      </c>
      <c r="E98" s="1" t="s">
        <v>92</v>
      </c>
      <c r="F98" s="1" t="s">
        <v>92</v>
      </c>
      <c r="G98" s="1" t="s">
        <v>92</v>
      </c>
      <c r="H98" s="1" t="s">
        <v>92</v>
      </c>
      <c r="I98" s="1" t="s">
        <v>92</v>
      </c>
      <c r="J98" s="1" t="s">
        <v>92</v>
      </c>
      <c r="K98" s="1">
        <v>-10593206</v>
      </c>
      <c r="L98" s="1">
        <v>-17968004</v>
      </c>
      <c r="M98" s="1">
        <v>-23754005</v>
      </c>
      <c r="N98" s="1">
        <v>-28302507</v>
      </c>
      <c r="O98" s="1">
        <v>-20974000</v>
      </c>
      <c r="P98" s="1">
        <v>-24419000</v>
      </c>
      <c r="Q98" s="1">
        <v>-26496000</v>
      </c>
      <c r="R98" s="1">
        <v>-6624000</v>
      </c>
      <c r="S98" s="1">
        <v>-2844000</v>
      </c>
      <c r="T98" s="1">
        <v>-3356000</v>
      </c>
      <c r="U98" s="1" t="s">
        <v>92</v>
      </c>
      <c r="V98" s="1" t="s">
        <v>92</v>
      </c>
      <c r="AC98" s="61" t="s">
        <v>139</v>
      </c>
      <c r="AD98" s="62"/>
    </row>
    <row r="99" spans="1:30" ht="20" x14ac:dyDescent="0.25">
      <c r="A99" s="5" t="s">
        <v>84</v>
      </c>
      <c r="B99" s="1" t="s">
        <v>92</v>
      </c>
      <c r="C99" s="1" t="s">
        <v>92</v>
      </c>
      <c r="D99" s="1" t="s">
        <v>92</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AC99" s="23" t="s">
        <v>140</v>
      </c>
      <c r="AD99" s="24">
        <f>AD86+AD87</f>
        <v>656000000</v>
      </c>
    </row>
    <row r="100" spans="1:30" ht="20" x14ac:dyDescent="0.25">
      <c r="A100" s="6" t="s">
        <v>85</v>
      </c>
      <c r="B100" s="10" t="s">
        <v>92</v>
      </c>
      <c r="C100" s="10" t="s">
        <v>92</v>
      </c>
      <c r="D100" s="10" t="s">
        <v>92</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AC100" s="33" t="s">
        <v>141</v>
      </c>
      <c r="AD100" s="34">
        <f>AD99/AD103</f>
        <v>1.0079526852259027E-2</v>
      </c>
    </row>
    <row r="101" spans="1:30" ht="20" x14ac:dyDescent="0.25">
      <c r="A101" s="5" t="s">
        <v>86</v>
      </c>
      <c r="B101" s="1" t="s">
        <v>92</v>
      </c>
      <c r="C101" s="1" t="s">
        <v>92</v>
      </c>
      <c r="D101" s="1" t="s">
        <v>92</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AC101" s="23" t="s">
        <v>142</v>
      </c>
      <c r="AD101" s="39" cm="1">
        <f t="array" ref="AD101">_FV(A1,"Market cap",TRUE)</f>
        <v>64426420000</v>
      </c>
    </row>
    <row r="102" spans="1:30" ht="20" x14ac:dyDescent="0.25">
      <c r="A102" s="6" t="s">
        <v>87</v>
      </c>
      <c r="B102" s="10" t="s">
        <v>92</v>
      </c>
      <c r="C102" s="10" t="s">
        <v>92</v>
      </c>
      <c r="D102" s="10" t="s">
        <v>92</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AC102" s="33" t="s">
        <v>143</v>
      </c>
      <c r="AD102" s="34">
        <f>AD101/AD103</f>
        <v>0.98992047314774101</v>
      </c>
    </row>
    <row r="103" spans="1:30" ht="20" x14ac:dyDescent="0.25">
      <c r="A103" s="5" t="s">
        <v>88</v>
      </c>
      <c r="B103" s="1" t="s">
        <v>92</v>
      </c>
      <c r="C103" s="1" t="s">
        <v>92</v>
      </c>
      <c r="D103" s="1" t="s">
        <v>92</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AC103" s="35" t="s">
        <v>144</v>
      </c>
      <c r="AD103" s="40">
        <f>AD99+AD101</f>
        <v>65082420000</v>
      </c>
    </row>
    <row r="104" spans="1:30" ht="20" thickBot="1" x14ac:dyDescent="0.3">
      <c r="A104" s="7" t="s">
        <v>89</v>
      </c>
      <c r="B104" s="11" t="s">
        <v>92</v>
      </c>
      <c r="C104" s="11" t="s">
        <v>92</v>
      </c>
      <c r="D104" s="11" t="s">
        <v>92</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AC104" s="61" t="s">
        <v>145</v>
      </c>
      <c r="AD104" s="62"/>
    </row>
    <row r="105" spans="1:30" ht="21" thickTop="1" x14ac:dyDescent="0.25">
      <c r="A105" s="14" t="s">
        <v>107</v>
      </c>
      <c r="B105" s="1"/>
      <c r="C105" s="15" t="e">
        <f>(C106/B106)-1</f>
        <v>#VALUE!</v>
      </c>
      <c r="D105" s="15" t="e">
        <f>(D106/C106)-1</f>
        <v>#VALUE!</v>
      </c>
      <c r="E105" s="15" t="e">
        <f>(E106/D106)-1</f>
        <v>#VALUE!</v>
      </c>
      <c r="F105" s="15">
        <f>(F106/E106)-1</f>
        <v>1.5902590026087848</v>
      </c>
      <c r="G105" s="15">
        <f>(G106/F106)-1</f>
        <v>-1.0610499473136414E-2</v>
      </c>
      <c r="H105" s="15">
        <f t="shared" ref="H105:V105" si="8">(H106/G106)-1</f>
        <v>12.492140183106386</v>
      </c>
      <c r="I105" s="15">
        <f t="shared" si="8"/>
        <v>-9.3513698556096148E-2</v>
      </c>
      <c r="J105" s="15">
        <f t="shared" si="8"/>
        <v>0.20732851126869334</v>
      </c>
      <c r="K105" s="15">
        <f t="shared" si="8"/>
        <v>0.29401127336547628</v>
      </c>
      <c r="L105" s="15">
        <f t="shared" si="8"/>
        <v>0.73386021547700619</v>
      </c>
      <c r="M105" s="15">
        <f t="shared" si="8"/>
        <v>-0.7675704618635687</v>
      </c>
      <c r="N105" s="15">
        <f t="shared" si="8"/>
        <v>4.7072840158859375</v>
      </c>
      <c r="O105" s="15">
        <f t="shared" si="8"/>
        <v>-2.7344242687957543E-2</v>
      </c>
      <c r="P105" s="15">
        <f t="shared" si="8"/>
        <v>-0.28139203279565106</v>
      </c>
      <c r="Q105" s="15">
        <f t="shared" si="8"/>
        <v>0.71961838620237573</v>
      </c>
      <c r="R105" s="15">
        <f t="shared" si="8"/>
        <v>-0.31408981795328805</v>
      </c>
      <c r="S105" s="15">
        <f t="shared" si="8"/>
        <v>1.3598491960376409</v>
      </c>
      <c r="T105" s="15">
        <f t="shared" si="8"/>
        <v>1.9769207023082482</v>
      </c>
      <c r="U105" s="15">
        <f t="shared" si="8"/>
        <v>-0.61990290898866918</v>
      </c>
      <c r="V105" s="15">
        <f t="shared" si="8"/>
        <v>5.9920432460406081</v>
      </c>
      <c r="W105" s="15"/>
      <c r="X105" s="15"/>
      <c r="Y105" s="15"/>
      <c r="Z105" s="15"/>
      <c r="AA105" s="15"/>
      <c r="AB105" s="15"/>
      <c r="AC105" s="25" t="s">
        <v>108</v>
      </c>
      <c r="AD105" s="26">
        <f>(AD100*AD92)+(AD102*AD97)</f>
        <v>0.11062444441237186</v>
      </c>
    </row>
    <row r="106" spans="1:30" ht="19" x14ac:dyDescent="0.25">
      <c r="A106" s="5" t="s">
        <v>90</v>
      </c>
      <c r="B106" s="1" t="s">
        <v>92</v>
      </c>
      <c r="C106" s="1" t="s">
        <v>92</v>
      </c>
      <c r="D106" s="1" t="s">
        <v>92</v>
      </c>
      <c r="E106" s="1">
        <v>1434001</v>
      </c>
      <c r="F106" s="1">
        <v>3714434</v>
      </c>
      <c r="G106" s="1">
        <v>3675022</v>
      </c>
      <c r="H106" s="1">
        <v>49583912</v>
      </c>
      <c r="I106" s="1">
        <v>44947137</v>
      </c>
      <c r="J106" s="1">
        <v>54265960</v>
      </c>
      <c r="K106" s="1">
        <v>70220764</v>
      </c>
      <c r="L106" s="1">
        <v>121752989</v>
      </c>
      <c r="M106" s="1">
        <v>28298991</v>
      </c>
      <c r="N106" s="1">
        <v>161510379</v>
      </c>
      <c r="O106" s="1">
        <v>157094000</v>
      </c>
      <c r="P106" s="1">
        <v>112889000</v>
      </c>
      <c r="Q106" s="1">
        <v>194126000</v>
      </c>
      <c r="R106" s="1">
        <v>133153000</v>
      </c>
      <c r="S106" s="1">
        <v>314221000</v>
      </c>
      <c r="T106" s="1">
        <v>935411000</v>
      </c>
      <c r="U106" s="1">
        <v>355547000</v>
      </c>
      <c r="V106" s="1">
        <v>2486000000</v>
      </c>
      <c r="W106" s="41">
        <f>V106*(1+$AD$106)</f>
        <v>3104063197.2702503</v>
      </c>
      <c r="X106" s="41">
        <f t="shared" ref="X106:AA106" si="9">W106*(1+$AD$106)</f>
        <v>3875787744.4278393</v>
      </c>
      <c r="Y106" s="41">
        <f t="shared" si="9"/>
        <v>4839376547.8316689</v>
      </c>
      <c r="Z106" s="41">
        <f t="shared" si="9"/>
        <v>6042530426.3302641</v>
      </c>
      <c r="AA106" s="41">
        <f t="shared" si="9"/>
        <v>7544809458.8726816</v>
      </c>
      <c r="AB106" s="42" t="s">
        <v>146</v>
      </c>
      <c r="AC106" s="43" t="s">
        <v>147</v>
      </c>
      <c r="AD106" s="44">
        <f>(SUM(W4:AA4)/5)</f>
        <v>0.24861753711594936</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42"/>
      <c r="X107" s="42"/>
      <c r="Y107" s="42"/>
      <c r="Z107" s="42"/>
      <c r="AA107" s="45">
        <f>AA106*(1+AD107)/(AD108-AD107)</f>
        <v>90318013137.695724</v>
      </c>
      <c r="AB107" s="46" t="s">
        <v>148</v>
      </c>
      <c r="AC107" s="47" t="s">
        <v>149</v>
      </c>
      <c r="AD107" s="48">
        <v>2.5000000000000001E-2</v>
      </c>
    </row>
    <row r="108" spans="1:30" ht="19" x14ac:dyDescent="0.25">
      <c r="W108" s="45">
        <f t="shared" ref="W108:Y108" si="10">W107+W106</f>
        <v>3104063197.2702503</v>
      </c>
      <c r="X108" s="45">
        <f t="shared" si="10"/>
        <v>3875787744.4278393</v>
      </c>
      <c r="Y108" s="45">
        <f t="shared" si="10"/>
        <v>4839376547.8316689</v>
      </c>
      <c r="Z108" s="45">
        <f>Z107+Z106</f>
        <v>6042530426.3302641</v>
      </c>
      <c r="AA108" s="45">
        <f>AA107+AA106</f>
        <v>97862822596.568405</v>
      </c>
      <c r="AB108" s="46" t="s">
        <v>144</v>
      </c>
      <c r="AC108" s="49" t="s">
        <v>150</v>
      </c>
      <c r="AD108" s="50">
        <f>AD105</f>
        <v>0.11062444441237186</v>
      </c>
    </row>
    <row r="109" spans="1:30" ht="19" x14ac:dyDescent="0.25">
      <c r="W109" s="63" t="s">
        <v>151</v>
      </c>
      <c r="X109" s="64"/>
    </row>
    <row r="110" spans="1:30" ht="20" x14ac:dyDescent="0.25">
      <c r="W110" s="51" t="s">
        <v>152</v>
      </c>
      <c r="X110" s="39">
        <f>NPV(AD108,W108,X108,Y108,Z108,AA108)</f>
        <v>71354762047.286591</v>
      </c>
    </row>
    <row r="111" spans="1:30" ht="20" x14ac:dyDescent="0.25">
      <c r="W111" s="51" t="s">
        <v>153</v>
      </c>
      <c r="X111" s="39">
        <f>V40</f>
        <v>4249000000</v>
      </c>
    </row>
    <row r="112" spans="1:30" ht="20" x14ac:dyDescent="0.25">
      <c r="W112" s="51" t="s">
        <v>140</v>
      </c>
      <c r="X112" s="39">
        <f>AD99</f>
        <v>656000000</v>
      </c>
    </row>
    <row r="113" spans="23:24" ht="20" x14ac:dyDescent="0.25">
      <c r="W113" s="51" t="s">
        <v>154</v>
      </c>
      <c r="X113" s="39">
        <f>X110+X111-X112</f>
        <v>74947762047.286591</v>
      </c>
    </row>
    <row r="114" spans="23:24" ht="20" x14ac:dyDescent="0.25">
      <c r="W114" s="51" t="s">
        <v>155</v>
      </c>
      <c r="X114" s="52">
        <f>V34*(1+(5*AB16))</f>
        <v>55576462.481717423</v>
      </c>
    </row>
    <row r="115" spans="23:24" ht="20" x14ac:dyDescent="0.25">
      <c r="W115" s="53" t="s">
        <v>156</v>
      </c>
      <c r="X115" s="54">
        <f>X113/X114</f>
        <v>1348.5522233794854</v>
      </c>
    </row>
    <row r="116" spans="23:24" ht="20" x14ac:dyDescent="0.25">
      <c r="W116" s="51" t="s">
        <v>157</v>
      </c>
      <c r="X116" s="55" cm="1">
        <f t="array" ref="X116">_FV(A1,"Price")</f>
        <v>1281.92</v>
      </c>
    </row>
    <row r="117" spans="23:24" ht="20" x14ac:dyDescent="0.25">
      <c r="W117" s="56" t="s">
        <v>158</v>
      </c>
      <c r="X117" s="57">
        <f>X115/X116-1</f>
        <v>5.1978456829977926E-2</v>
      </c>
    </row>
    <row r="118" spans="23:24" ht="20" x14ac:dyDescent="0.25">
      <c r="W118" s="56" t="s">
        <v>159</v>
      </c>
      <c r="X118" s="58" t="str">
        <f>IF(X115&gt;X116,"BUY","SELL")</f>
        <v>BUY</v>
      </c>
    </row>
  </sheetData>
  <mergeCells count="6">
    <mergeCell ref="W109:X109"/>
    <mergeCell ref="AC83:AD83"/>
    <mergeCell ref="AC84:AD84"/>
    <mergeCell ref="AC93:AD93"/>
    <mergeCell ref="AC98:AD98"/>
    <mergeCell ref="AC104:AD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2023-03-13T10:27:55Z</dcterms:created>
  <dcterms:modified xsi:type="dcterms:W3CDTF">2023-04-23T07:12:10Z</dcterms:modified>
</cp:coreProperties>
</file>