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1E28C55-585A-C940-9F5B-491161F1A44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L116" i="1" a="1"/>
  <c r="L116" i="1"/>
  <c r="K4" i="1"/>
  <c r="L4" i="1"/>
  <c r="M4" i="1"/>
  <c r="N4" i="1"/>
  <c r="O4" i="1"/>
  <c r="R106" i="1"/>
  <c r="K106" i="1"/>
  <c r="L106" i="1"/>
  <c r="M106" i="1"/>
  <c r="N106" i="1"/>
  <c r="O106" i="1"/>
  <c r="R101" i="1" a="1"/>
  <c r="R101" i="1"/>
  <c r="R95" i="1" a="1"/>
  <c r="R95" i="1"/>
  <c r="R86" i="1"/>
  <c r="R87" i="1"/>
  <c r="R99" i="1"/>
  <c r="R103" i="1"/>
  <c r="R100" i="1"/>
  <c r="R85" i="1"/>
  <c r="R88" i="1"/>
  <c r="R89" i="1"/>
  <c r="R90" i="1"/>
  <c r="R91" i="1"/>
  <c r="R92" i="1"/>
  <c r="R102" i="1"/>
  <c r="R97" i="1"/>
  <c r="R105" i="1"/>
  <c r="R108" i="1"/>
  <c r="K108" i="1"/>
  <c r="L108" i="1"/>
  <c r="M108" i="1"/>
  <c r="N108" i="1"/>
  <c r="O107" i="1"/>
  <c r="O108" i="1"/>
  <c r="L110" i="1"/>
  <c r="L111" i="1"/>
  <c r="L112" i="1"/>
  <c r="L113" i="1"/>
  <c r="P16" i="1"/>
  <c r="L115" i="1"/>
  <c r="L118" i="1"/>
  <c r="L117" i="1"/>
  <c r="P19" i="1"/>
  <c r="S16" i="1"/>
  <c r="R16" i="1"/>
  <c r="Q16" i="1"/>
  <c r="S13" i="1"/>
  <c r="R13" i="1"/>
  <c r="Q13" i="1"/>
  <c r="P13" i="1"/>
  <c r="S10" i="1"/>
  <c r="R10" i="1"/>
  <c r="Q10" i="1"/>
  <c r="P10" i="1"/>
  <c r="S7" i="1"/>
  <c r="R7" i="1"/>
  <c r="Q7" i="1"/>
  <c r="P7" i="1"/>
  <c r="S4" i="1"/>
  <c r="R4" i="1"/>
  <c r="Q4" i="1"/>
  <c r="P4" i="1"/>
  <c r="J9" i="1"/>
  <c r="J13" i="1"/>
  <c r="J20" i="1"/>
  <c r="J29" i="1"/>
  <c r="J35" i="1"/>
  <c r="J80" i="1"/>
  <c r="J89" i="1"/>
  <c r="J105" i="1"/>
  <c r="I105" i="1"/>
  <c r="H105" i="1"/>
  <c r="G105" i="1"/>
  <c r="F105" i="1"/>
  <c r="E105" i="1"/>
  <c r="D105" i="1"/>
  <c r="C105"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<sst xmlns="http://schemas.openxmlformats.org/spreadsheetml/2006/main" count="336" uniqueCount="160">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</sst>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layout>
        <c:manualLayout>
          <c:xMode val="edge"/>
          <c:yMode val="edge"/>
          <c:x val="0.46072131147540984"/>
          <c:y val="1.96238774000405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413114754098359E-2"/>
          <c:y val="0.1123576002693433"/>
          <c:w val="0.87175081967213119"/>
          <c:h val="0.7898059536749444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08E2-2D4C-BDFB-B7B3B720DC4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-57058000</c:v>
                </c:pt>
                <c:pt idx="1">
                  <c:v>-73118000</c:v>
                </c:pt>
                <c:pt idx="2">
                  <c:v>-78516000</c:v>
                </c:pt>
                <c:pt idx="3">
                  <c:v>-107679000</c:v>
                </c:pt>
                <c:pt idx="4">
                  <c:v>-102441000</c:v>
                </c:pt>
                <c:pt idx="5">
                  <c:v>-165500000</c:v>
                </c:pt>
                <c:pt idx="6">
                  <c:v>-156666000</c:v>
                </c:pt>
                <c:pt idx="7">
                  <c:v>-649902000</c:v>
                </c:pt>
                <c:pt idx="8">
                  <c:v>-676000000</c:v>
                </c:pt>
              </c:numCache>
            </c:numRef>
          </c:val>
          <c:extLst>
            <c:ext xmlns:c16="http://schemas.microsoft.com/office/drawing/2014/chart" uri="{C3380CC4-5D6E-409C-BE32-E72D297353CC}">
              <c16:uniqueId val="{00000001-08E2-2D4C-BDFB-B7B3B720DC4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08E2-2D4C-BDFB-B7B3B720DC4A}"/>
            </c:ext>
          </c:extLst>
        </c:ser>
        <c:dLbls>
          <c:showLegendKey val="0"/>
          <c:showVal val="0"/>
          <c:showCatName val="0"/>
          <c:showSerName val="0"/>
          <c:showPercent val="0"/>
          <c:showBubbleSize val="0"/>
        </c:dLbls>
        <c:gapWidth val="100"/>
        <c:overlap val="-24"/>
        <c:axId val="1463778560"/>
        <c:axId val="1463780288"/>
      </c:barChart>
      <c:catAx>
        <c:axId val="146377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3780288"/>
        <c:crosses val="autoZero"/>
        <c:auto val="1"/>
        <c:lblAlgn val="ctr"/>
        <c:lblOffset val="100"/>
        <c:noMultiLvlLbl val="0"/>
      </c:catAx>
      <c:valAx>
        <c:axId val="146378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3778560"/>
        <c:crosses val="autoZero"/>
        <c:crossBetween val="between"/>
      </c:valAx>
      <c:spPr>
        <a:noFill/>
        <a:ln>
          <a:noFill/>
        </a:ln>
        <a:effectLst/>
      </c:spPr>
    </c:plotArea>
    <c:legend>
      <c:legendPos val="b"/>
      <c:layout>
        <c:manualLayout>
          <c:xMode val="edge"/>
          <c:yMode val="edge"/>
          <c:x val="0.34971514134503678"/>
          <c:y val="0.92913926033949135"/>
          <c:w val="0.30056971730992643"/>
          <c:h val="4.46955697937879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17462</xdr:rowOff>
    </xdr:from>
    <xdr:to>
      <xdr:col>17</xdr:col>
      <xdr:colOff>1603375</xdr:colOff>
      <xdr:row>134</xdr:row>
      <xdr:rowOff>15874</xdr:rowOff>
    </xdr:to>
    <xdr:graphicFrame macro="">
      <xdr:nvGraphicFramePr>
        <xdr:cNvPr id="2" name="Chart 1">
          <a:extLst>
            <a:ext uri="{FF2B5EF4-FFF2-40B4-BE49-F238E27FC236}">
              <a16:creationId xmlns:a16="http://schemas.microsoft.com/office/drawing/2014/main" id="{7BFE17F3-BF60-F2A0-281D-124A90B65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151.76</v>
    <v>44.120399999999997</v>
    <v>1.1577</v>
    <v>1.37</v>
    <v>1.7432E-2</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6013</v>
    <v>Nasdaq Stock Market</v>
    <v>XNAS</v>
    <v>XNAS</v>
    <v>100 1st St Ste 600, SAN FRANCISCO, CA, 94105-4687 US</v>
    <v>80.010000000000005</v>
    <v>Software &amp; IT Services</v>
    <v>Stock</v>
    <v>45022.998971296096</v>
    <v>0</v>
    <v>76.7</v>
    <v>12896570000</v>
    <v>OKTA, INC.</v>
    <v>OKTA, INC.</v>
    <v>78</v>
    <v>78.59</v>
    <v>79.959999999999994</v>
    <v>161287800</v>
    <v>OKTA</v>
    <v>OKTA, INC. (XNAS:OKTA)</v>
    <v>1</v>
    <v>2739863</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84" activePane="bottomRight" state="frozen"/>
      <selection pane="topRight"/>
      <selection pane="bottomLeft"/>
      <selection pane="bottomRight" activeCell="L100" sqref="L100"/>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8">
        <v>2024</v>
      </c>
      <c r="L1" s="28">
        <v>2025</v>
      </c>
      <c r="M1" s="28">
        <v>2026</v>
      </c>
      <c r="N1" s="28">
        <v>2027</v>
      </c>
      <c r="O1" s="28">
        <v>2028</v>
      </c>
    </row>
    <row r="2" spans="1:38" ht="21">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9">
        <v>2166000000</v>
      </c>
      <c r="L3" s="29">
        <v>2565000000</v>
      </c>
      <c r="M3" s="29">
        <v>3200000000</v>
      </c>
      <c r="N3" s="29">
        <v>4681000000</v>
      </c>
      <c r="O3" s="29">
        <v>5516000000</v>
      </c>
      <c r="P3" s="19" t="s">
        <v>109</v>
      </c>
      <c r="Q3" s="20" t="s">
        <v>110</v>
      </c>
      <c r="R3" s="20" t="s">
        <v>111</v>
      </c>
      <c r="S3" s="20" t="s">
        <v>112</v>
      </c>
    </row>
    <row r="4" spans="1:38" ht="19">
      <c r="A4" s="14" t="s">
        <v>94</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0.16576964477933265</v>
      </c>
      <c r="L4" s="16">
        <f t="shared" si="0"/>
        <v>0.18421052631578938</v>
      </c>
      <c r="M4" s="16">
        <f t="shared" si="0"/>
        <v>0.24756335282651065</v>
      </c>
      <c r="N4" s="16">
        <f t="shared" si="0"/>
        <v>0.46281250000000007</v>
      </c>
      <c r="O4" s="16">
        <f t="shared" si="0"/>
        <v>0.17838068788720363</v>
      </c>
      <c r="P4" s="17">
        <f>(J4+I4+H4)/3</f>
        <v>0.47027390973546496</v>
      </c>
      <c r="Q4" s="17">
        <f>(J20+I20+H20)/3</f>
        <v>1.0450358236327775</v>
      </c>
      <c r="R4" s="17">
        <f>(J29+I29+H29)/3</f>
        <v>0.8070016304122557</v>
      </c>
      <c r="S4" s="17">
        <f>(J105+I105+H105)/3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113</v>
      </c>
      <c r="Q6" s="20" t="s">
        <v>114</v>
      </c>
      <c r="R6" s="20" t="s">
        <v>115</v>
      </c>
      <c r="S6" s="20" t="s">
        <v>116</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J106/J3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30"/>
    </row>
    <row r="9" spans="1:38" ht="19" customHeight="1">
      <c r="A9" s="14" t="s">
        <v>95</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96</v>
      </c>
      <c r="Q9" s="20" t="s">
        <v>97</v>
      </c>
      <c r="R9" s="20" t="s">
        <v>98</v>
      </c>
      <c r="S9" s="20" t="s">
        <v>99</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117</v>
      </c>
      <c r="Q12" s="20" t="s">
        <v>118</v>
      </c>
      <c r="R12" s="20" t="s">
        <v>119</v>
      </c>
      <c r="S12" s="20" t="s">
        <v>120</v>
      </c>
    </row>
    <row r="13" spans="1:38" ht="19">
      <c r="A13" s="14" t="s">
        <v>100</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92</v>
      </c>
      <c r="C14" s="1" t="s">
        <v>92</v>
      </c>
      <c r="D14" s="1" t="s">
        <v>92</v>
      </c>
      <c r="E14" s="1" t="s">
        <v>92</v>
      </c>
      <c r="F14" s="1" t="s">
        <v>92</v>
      </c>
      <c r="G14" s="1" t="s">
        <v>92</v>
      </c>
      <c r="H14" s="1" t="s">
        <v>92</v>
      </c>
      <c r="I14" s="1" t="s">
        <v>92</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121</v>
      </c>
      <c r="Q15" s="20" t="s">
        <v>122</v>
      </c>
      <c r="R15" s="20" t="s">
        <v>123</v>
      </c>
      <c r="S15" s="20" t="s">
        <v>124</v>
      </c>
    </row>
    <row r="16" spans="1:38" ht="19">
      <c r="A16" s="5" t="s">
        <v>11</v>
      </c>
      <c r="B16" s="1">
        <v>99792000</v>
      </c>
      <c r="C16" s="1">
        <v>161895000</v>
      </c>
      <c r="D16" s="1">
        <v>243449000</v>
      </c>
      <c r="E16" s="1">
        <v>376352000</v>
      </c>
      <c r="F16" s="1">
        <v>518876000</v>
      </c>
      <c r="G16" s="1">
        <v>771899000</v>
      </c>
      <c r="H16" s="1">
        <v>1039583000</v>
      </c>
      <c r="I16" s="1">
        <v>2067304000</v>
      </c>
      <c r="J16" s="1">
        <v>2670000000</v>
      </c>
      <c r="P16" s="31">
        <f>(J35+I35+H35+G35+F35)/5</f>
        <v>0.14143946473480479</v>
      </c>
      <c r="Q16" s="32">
        <f>R101/J3</f>
        <v>6.9411033369214206</v>
      </c>
      <c r="R16" s="32">
        <f>R101/J28</f>
        <v>-15.824012269938651</v>
      </c>
      <c r="S16" s="33">
        <f>R101/J106</f>
        <v>198.40876923076922</v>
      </c>
    </row>
    <row r="17" spans="1:16" ht="19">
      <c r="A17" s="5" t="s">
        <v>12</v>
      </c>
      <c r="B17" s="1" t="s">
        <v>92</v>
      </c>
      <c r="C17" s="1" t="s">
        <v>92</v>
      </c>
      <c r="D17" s="1" t="s">
        <v>92</v>
      </c>
      <c r="E17" s="1" t="s">
        <v>92</v>
      </c>
      <c r="F17" s="1">
        <v>15072000</v>
      </c>
      <c r="G17" s="1">
        <v>27017000</v>
      </c>
      <c r="H17" s="1">
        <v>72660000</v>
      </c>
      <c r="I17" s="1">
        <v>92182000</v>
      </c>
      <c r="J17" s="1">
        <v>11000000</v>
      </c>
    </row>
    <row r="18" spans="1:16" ht="20">
      <c r="A18" s="5" t="s">
        <v>13</v>
      </c>
      <c r="B18" s="1">
        <v>1923000</v>
      </c>
      <c r="C18" s="1">
        <v>2889000</v>
      </c>
      <c r="D18" s="1">
        <v>4568000</v>
      </c>
      <c r="E18" s="1">
        <v>7001000</v>
      </c>
      <c r="F18" s="1">
        <v>8001000</v>
      </c>
      <c r="G18" s="1">
        <v>17815000</v>
      </c>
      <c r="H18" s="1">
        <v>36865000</v>
      </c>
      <c r="I18" s="1">
        <v>107612000</v>
      </c>
      <c r="J18" s="1">
        <v>114000000</v>
      </c>
      <c r="P18" s="19" t="s">
        <v>125</v>
      </c>
    </row>
    <row r="19" spans="1:16" ht="19">
      <c r="A19" s="6" t="s">
        <v>14</v>
      </c>
      <c r="B19" s="10">
        <v>-57058000</v>
      </c>
      <c r="C19" s="10">
        <v>-73118000</v>
      </c>
      <c r="D19" s="10">
        <v>-78516000</v>
      </c>
      <c r="E19" s="10">
        <v>-107679000</v>
      </c>
      <c r="F19" s="10">
        <v>-102441000</v>
      </c>
      <c r="G19" s="10">
        <v>-165500000</v>
      </c>
      <c r="H19" s="10">
        <v>-156666000</v>
      </c>
      <c r="I19" s="10">
        <v>-649902000</v>
      </c>
      <c r="J19" s="10">
        <v>-676000000</v>
      </c>
      <c r="P19" s="34">
        <f>J40-J56-J61</f>
        <v>245000000</v>
      </c>
    </row>
    <row r="20" spans="1:16" ht="19" customHeight="1">
      <c r="A20" s="14" t="s">
        <v>101</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row>
    <row r="21" spans="1:16" ht="19">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row>
    <row r="22" spans="1:16" ht="19">
      <c r="A22" s="6" t="s">
        <v>16</v>
      </c>
      <c r="B22" s="10">
        <v>-58782000</v>
      </c>
      <c r="C22" s="10">
        <v>-75988000</v>
      </c>
      <c r="D22" s="10">
        <v>-83123000</v>
      </c>
      <c r="E22" s="10">
        <v>-116362000</v>
      </c>
      <c r="F22" s="10">
        <v>-119622000</v>
      </c>
      <c r="G22" s="10">
        <v>-185832000</v>
      </c>
      <c r="H22" s="10">
        <v>-204159000</v>
      </c>
      <c r="I22" s="10">
        <v>-767103000</v>
      </c>
      <c r="J22" s="10">
        <v>-812000000</v>
      </c>
    </row>
    <row r="23" spans="1:16"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6" ht="19">
      <c r="A24" s="5" t="s">
        <v>18</v>
      </c>
      <c r="B24" s="1">
        <v>-199000</v>
      </c>
      <c r="C24" s="1">
        <v>-19000</v>
      </c>
      <c r="D24" s="1">
        <v>39000</v>
      </c>
      <c r="E24" s="1">
        <v>1682000</v>
      </c>
      <c r="F24" s="1">
        <v>-5892000</v>
      </c>
      <c r="G24" s="1">
        <v>-24500000</v>
      </c>
      <c r="H24" s="1">
        <v>-62032000</v>
      </c>
      <c r="I24" s="1">
        <v>-82593000</v>
      </c>
      <c r="J24" s="1">
        <v>11000000</v>
      </c>
    </row>
    <row r="25" spans="1:16" ht="19">
      <c r="A25" s="6" t="s">
        <v>19</v>
      </c>
      <c r="B25" s="10">
        <v>-58981000</v>
      </c>
      <c r="C25" s="10">
        <v>-76007000</v>
      </c>
      <c r="D25" s="10">
        <v>-83084000</v>
      </c>
      <c r="E25" s="10">
        <v>-114680000</v>
      </c>
      <c r="F25" s="10">
        <v>-125514000</v>
      </c>
      <c r="G25" s="10">
        <v>-210332000</v>
      </c>
      <c r="H25" s="10">
        <v>-266191000</v>
      </c>
      <c r="I25" s="10">
        <v>-849696000</v>
      </c>
      <c r="J25" s="10">
        <v>-801000000</v>
      </c>
    </row>
    <row r="26" spans="1:16"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6" ht="19">
      <c r="A27" s="5" t="s">
        <v>21</v>
      </c>
      <c r="B27" s="1">
        <v>130000</v>
      </c>
      <c r="C27" s="1">
        <v>295000</v>
      </c>
      <c r="D27" s="1">
        <v>425000</v>
      </c>
      <c r="E27" s="1">
        <v>-321000</v>
      </c>
      <c r="F27" s="1">
        <v>-17000</v>
      </c>
      <c r="G27" s="1">
        <v>-1419000</v>
      </c>
      <c r="H27" s="1">
        <v>141000</v>
      </c>
      <c r="I27" s="1">
        <v>-1285000</v>
      </c>
      <c r="J27" s="1">
        <v>14000000</v>
      </c>
    </row>
    <row r="28" spans="1:16" ht="20" thickBot="1">
      <c r="A28" s="7" t="s">
        <v>22</v>
      </c>
      <c r="B28" s="11">
        <v>-59111000</v>
      </c>
      <c r="C28" s="11">
        <v>-76302000</v>
      </c>
      <c r="D28" s="11">
        <v>-83509000</v>
      </c>
      <c r="E28" s="11">
        <v>-114359000</v>
      </c>
      <c r="F28" s="11">
        <v>-125497000</v>
      </c>
      <c r="G28" s="11">
        <v>-208913000</v>
      </c>
      <c r="H28" s="11">
        <v>-266332000</v>
      </c>
      <c r="I28" s="11">
        <v>-848411000</v>
      </c>
      <c r="J28" s="11">
        <v>-815000000</v>
      </c>
    </row>
    <row r="29" spans="1:16" ht="20" customHeight="1" thickTop="1">
      <c r="A29" s="14" t="s">
        <v>102</v>
      </c>
      <c r="B29" s="1"/>
      <c r="C29" s="15">
        <f>(C28/B28)-1</f>
        <v>0.29082573463483952</v>
      </c>
      <c r="D29" s="15">
        <f>(D28/C28)-1</f>
        <v>9.4453618515897286E-2</v>
      </c>
      <c r="E29" s="15">
        <f>(E28/D28)-1</f>
        <v>0.36942125998395392</v>
      </c>
      <c r="F29" s="15">
        <f t="shared" ref="F29:J29" si="4">(F28/E28)-1</f>
        <v>9.7395045427119964E-2</v>
      </c>
      <c r="G29" s="15">
        <f t="shared" si="4"/>
        <v>0.66468521159868366</v>
      </c>
      <c r="H29" s="15">
        <f t="shared" si="4"/>
        <v>0.2748464671896913</v>
      </c>
      <c r="I29" s="15">
        <f t="shared" si="4"/>
        <v>2.1855391015724734</v>
      </c>
      <c r="J29" s="15">
        <f t="shared" si="4"/>
        <v>-3.9380677525397534E-2</v>
      </c>
    </row>
    <row r="30" spans="1:16"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row>
    <row r="31" spans="1:16" ht="19">
      <c r="A31" s="5" t="s">
        <v>24</v>
      </c>
      <c r="B31" s="12">
        <v>-0.65</v>
      </c>
      <c r="C31" s="12">
        <v>-0.84</v>
      </c>
      <c r="D31" s="12">
        <v>-0.92</v>
      </c>
      <c r="E31" s="12">
        <v>-1.38</v>
      </c>
      <c r="F31" s="12">
        <v>-1.17</v>
      </c>
      <c r="G31" s="12">
        <v>-1.78</v>
      </c>
      <c r="H31" s="12">
        <v>-2.09</v>
      </c>
      <c r="I31" s="12">
        <v>-5.52</v>
      </c>
      <c r="J31" s="12">
        <v>-5.16</v>
      </c>
    </row>
    <row r="32" spans="1:16"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103</v>
      </c>
      <c r="B35" s="1"/>
      <c r="C35" s="23">
        <f>(C34-B34)/B34</f>
        <v>0</v>
      </c>
      <c r="D35" s="23">
        <f t="shared" ref="D35:J35" si="5">(D34-C34)/C34</f>
        <v>0</v>
      </c>
      <c r="E35" s="23">
        <f t="shared" si="5"/>
        <v>-8.5443824347699177E-2</v>
      </c>
      <c r="F35" s="23">
        <f t="shared" si="5"/>
        <v>0.29516649800009637</v>
      </c>
      <c r="G35" s="23">
        <f t="shared" si="5"/>
        <v>9.0387334424765584E-2</v>
      </c>
      <c r="H35" s="23">
        <f t="shared" si="5"/>
        <v>8.5232168297489364E-2</v>
      </c>
      <c r="I35" s="23">
        <f t="shared" si="5"/>
        <v>0.20865956041882841</v>
      </c>
      <c r="J35" s="23">
        <f t="shared" si="5"/>
        <v>2.7751762532844247E-2</v>
      </c>
    </row>
    <row r="36" spans="1:10" ht="19">
      <c r="A36" s="5" t="s">
        <v>28</v>
      </c>
      <c r="B36" s="13" t="s">
        <v>93</v>
      </c>
      <c r="C36" s="13" t="s">
        <v>93</v>
      </c>
      <c r="D36" s="13" t="s">
        <v>93</v>
      </c>
      <c r="E36" s="13" t="s">
        <v>93</v>
      </c>
      <c r="F36" s="13" t="s">
        <v>93</v>
      </c>
      <c r="G36" s="13" t="s">
        <v>93</v>
      </c>
      <c r="H36" s="13" t="s">
        <v>93</v>
      </c>
      <c r="I36" s="13" t="s">
        <v>93</v>
      </c>
      <c r="J36" s="13" t="s">
        <v>93</v>
      </c>
    </row>
    <row r="37" spans="1:10" ht="21">
      <c r="A37" s="4" t="s">
        <v>29</v>
      </c>
      <c r="B37" s="9" t="s">
        <v>91</v>
      </c>
      <c r="C37" s="9" t="s">
        <v>91</v>
      </c>
      <c r="D37" s="9" t="s">
        <v>91</v>
      </c>
      <c r="E37" s="9" t="s">
        <v>91</v>
      </c>
      <c r="F37" s="9" t="s">
        <v>91</v>
      </c>
      <c r="G37" s="9" t="s">
        <v>91</v>
      </c>
      <c r="H37" s="9" t="s">
        <v>91</v>
      </c>
      <c r="I37" s="9" t="s">
        <v>91</v>
      </c>
      <c r="J37" s="9" t="s">
        <v>91</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92</v>
      </c>
      <c r="C42" s="1" t="s">
        <v>92</v>
      </c>
      <c r="D42" s="1" t="s">
        <v>92</v>
      </c>
      <c r="E42" s="1" t="s">
        <v>92</v>
      </c>
      <c r="F42" s="1" t="s">
        <v>92</v>
      </c>
      <c r="G42" s="1" t="s">
        <v>92</v>
      </c>
      <c r="H42" s="1" t="s">
        <v>92</v>
      </c>
      <c r="I42" s="1" t="s">
        <v>92</v>
      </c>
      <c r="J42" s="1" t="s">
        <v>92</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92</v>
      </c>
      <c r="C49" s="1" t="s">
        <v>92</v>
      </c>
      <c r="D49" s="1" t="s">
        <v>92</v>
      </c>
      <c r="E49" s="1" t="s">
        <v>92</v>
      </c>
      <c r="F49" s="1" t="s">
        <v>92</v>
      </c>
      <c r="G49" s="1" t="s">
        <v>92</v>
      </c>
      <c r="H49" s="1" t="s">
        <v>92</v>
      </c>
      <c r="I49" s="1" t="s">
        <v>92</v>
      </c>
      <c r="J49" s="1" t="s">
        <v>92</v>
      </c>
    </row>
    <row r="50" spans="1:10" ht="19">
      <c r="A50" s="5" t="s">
        <v>42</v>
      </c>
      <c r="B50" s="1" t="s">
        <v>92</v>
      </c>
      <c r="C50" s="1" t="s">
        <v>92</v>
      </c>
      <c r="D50" s="1" t="s">
        <v>92</v>
      </c>
      <c r="E50" s="1" t="s">
        <v>92</v>
      </c>
      <c r="F50" s="1" t="s">
        <v>92</v>
      </c>
      <c r="G50" s="1" t="s">
        <v>92</v>
      </c>
      <c r="H50" s="1" t="s">
        <v>92</v>
      </c>
      <c r="I50" s="1" t="s">
        <v>92</v>
      </c>
      <c r="J50" s="1" t="s">
        <v>92</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92</v>
      </c>
      <c r="C53" s="1" t="s">
        <v>92</v>
      </c>
      <c r="D53" s="1" t="s">
        <v>92</v>
      </c>
      <c r="E53" s="1" t="s">
        <v>92</v>
      </c>
      <c r="F53" s="1" t="s">
        <v>92</v>
      </c>
      <c r="G53" s="1" t="s">
        <v>92</v>
      </c>
      <c r="H53" s="1" t="s">
        <v>92</v>
      </c>
      <c r="I53" s="1" t="s">
        <v>92</v>
      </c>
      <c r="J53" s="1" t="s">
        <v>92</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92</v>
      </c>
      <c r="C56" s="1" t="s">
        <v>92</v>
      </c>
      <c r="D56" s="1" t="s">
        <v>92</v>
      </c>
      <c r="E56" s="1" t="s">
        <v>92</v>
      </c>
      <c r="F56" s="1">
        <v>271628000</v>
      </c>
      <c r="G56" s="1">
        <v>100703000</v>
      </c>
      <c r="H56" s="1">
        <v>932087000</v>
      </c>
      <c r="I56" s="1">
        <v>42714000</v>
      </c>
      <c r="J56" s="1">
        <v>0</v>
      </c>
    </row>
    <row r="57" spans="1:10" ht="19">
      <c r="A57" s="5" t="s">
        <v>49</v>
      </c>
      <c r="B57" s="1" t="s">
        <v>92</v>
      </c>
      <c r="C57" s="1" t="s">
        <v>92</v>
      </c>
      <c r="D57" s="1" t="s">
        <v>92</v>
      </c>
      <c r="E57" s="1" t="s">
        <v>92</v>
      </c>
      <c r="F57" s="1" t="s">
        <v>92</v>
      </c>
      <c r="G57" s="1" t="s">
        <v>92</v>
      </c>
      <c r="H57" s="1">
        <v>2462000</v>
      </c>
      <c r="I57" s="1">
        <v>7423000</v>
      </c>
      <c r="J57" s="1" t="s">
        <v>92</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92</v>
      </c>
      <c r="C61" s="1" t="s">
        <v>92</v>
      </c>
      <c r="D61" s="1" t="s">
        <v>92</v>
      </c>
      <c r="E61" s="1" t="s">
        <v>92</v>
      </c>
      <c r="F61" s="1" t="s">
        <v>92</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92</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92</v>
      </c>
      <c r="C66" s="1" t="s">
        <v>92</v>
      </c>
      <c r="D66" s="1" t="s">
        <v>92</v>
      </c>
      <c r="E66" s="1" t="s">
        <v>92</v>
      </c>
      <c r="F66" s="1" t="s">
        <v>92</v>
      </c>
      <c r="G66" s="1" t="s">
        <v>92</v>
      </c>
      <c r="H66" s="1" t="s">
        <v>92</v>
      </c>
      <c r="I66" s="1" t="s">
        <v>92</v>
      </c>
      <c r="J66" s="1" t="s">
        <v>92</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92</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93</v>
      </c>
      <c r="C74" s="13" t="s">
        <v>93</v>
      </c>
      <c r="D74" s="13" t="s">
        <v>93</v>
      </c>
      <c r="E74" s="13" t="s">
        <v>93</v>
      </c>
      <c r="F74" s="13" t="s">
        <v>93</v>
      </c>
      <c r="G74" s="13" t="s">
        <v>93</v>
      </c>
      <c r="H74" s="13" t="s">
        <v>93</v>
      </c>
      <c r="I74" s="13" t="s">
        <v>93</v>
      </c>
      <c r="J74" s="13" t="s">
        <v>93</v>
      </c>
    </row>
    <row r="75" spans="1:18" ht="21">
      <c r="A75" s="4" t="s">
        <v>65</v>
      </c>
      <c r="B75" s="9" t="s">
        <v>91</v>
      </c>
      <c r="C75" s="9" t="s">
        <v>91</v>
      </c>
      <c r="D75" s="9" t="s">
        <v>91</v>
      </c>
      <c r="E75" s="9" t="s">
        <v>91</v>
      </c>
      <c r="F75" s="9" t="s">
        <v>91</v>
      </c>
      <c r="G75" s="9" t="s">
        <v>91</v>
      </c>
      <c r="H75" s="9" t="s">
        <v>91</v>
      </c>
      <c r="I75" s="9" t="s">
        <v>91</v>
      </c>
      <c r="J75" s="9" t="s">
        <v>91</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92</v>
      </c>
      <c r="C78" s="1" t="s">
        <v>92</v>
      </c>
      <c r="D78" s="1" t="s">
        <v>92</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104</v>
      </c>
      <c r="B80" s="15">
        <f t="shared" ref="B80:J80" si="6">B79/B3</f>
        <v>0.16044867105584004</v>
      </c>
      <c r="C80" s="15">
        <f t="shared" si="6"/>
        <v>0.11444934638620834</v>
      </c>
      <c r="D80" s="15">
        <f t="shared" si="6"/>
        <v>0.10682609183788032</v>
      </c>
      <c r="E80" s="15">
        <f t="shared" si="6"/>
        <v>0.19177660679256894</v>
      </c>
      <c r="F80" s="15">
        <f t="shared" si="6"/>
        <v>0.19115650688534117</v>
      </c>
      <c r="G80" s="15">
        <f t="shared" si="6"/>
        <v>0.216057208476164</v>
      </c>
      <c r="H80" s="15">
        <f t="shared" si="6"/>
        <v>0.23482806335465584</v>
      </c>
      <c r="I80" s="15">
        <f t="shared" si="6"/>
        <v>0.43491737046810452</v>
      </c>
      <c r="J80" s="15">
        <f t="shared" si="6"/>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92</v>
      </c>
      <c r="C83" s="1" t="s">
        <v>92</v>
      </c>
      <c r="D83" s="1" t="s">
        <v>92</v>
      </c>
      <c r="E83" s="1" t="s">
        <v>92</v>
      </c>
      <c r="F83" s="1" t="s">
        <v>92</v>
      </c>
      <c r="G83" s="1" t="s">
        <v>92</v>
      </c>
      <c r="H83" s="1" t="s">
        <v>92</v>
      </c>
      <c r="I83" s="1" t="s">
        <v>92</v>
      </c>
      <c r="J83" s="1" t="s">
        <v>92</v>
      </c>
      <c r="Q83" s="65" t="s">
        <v>126</v>
      </c>
      <c r="R83" s="66"/>
    </row>
    <row r="84" spans="1:18" ht="19" customHeight="1">
      <c r="A84" s="5" t="s">
        <v>47</v>
      </c>
      <c r="B84" s="1">
        <v>2781000</v>
      </c>
      <c r="C84" s="1">
        <v>962000</v>
      </c>
      <c r="D84" s="1">
        <v>3322000</v>
      </c>
      <c r="E84" s="1">
        <v>3505000</v>
      </c>
      <c r="F84" s="1">
        <v>675000</v>
      </c>
      <c r="G84" s="1">
        <v>1689000</v>
      </c>
      <c r="H84" s="1">
        <v>4081000</v>
      </c>
      <c r="I84" s="1">
        <v>6764000</v>
      </c>
      <c r="J84" s="1">
        <v>-6000000</v>
      </c>
      <c r="Q84" s="61" t="s">
        <v>127</v>
      </c>
      <c r="R84" s="62"/>
    </row>
    <row r="85" spans="1:18" ht="20">
      <c r="A85" s="5" t="s">
        <v>71</v>
      </c>
      <c r="B85" s="1">
        <v>20322000</v>
      </c>
      <c r="C85" s="1">
        <v>19291000</v>
      </c>
      <c r="D85" s="1">
        <v>15786000</v>
      </c>
      <c r="E85" s="1">
        <v>37090000</v>
      </c>
      <c r="F85" s="1">
        <v>55390000</v>
      </c>
      <c r="G85" s="1">
        <v>78242000</v>
      </c>
      <c r="H85" s="1">
        <v>105289000</v>
      </c>
      <c r="I85" s="1">
        <v>296117000</v>
      </c>
      <c r="J85" s="1" t="s">
        <v>92</v>
      </c>
      <c r="Q85" s="24" t="s">
        <v>128</v>
      </c>
      <c r="R85" s="25">
        <f>J17</f>
        <v>11000000</v>
      </c>
    </row>
    <row r="86" spans="1:18" ht="20">
      <c r="A86" s="5" t="s">
        <v>72</v>
      </c>
      <c r="B86" s="1">
        <v>3112000</v>
      </c>
      <c r="C86" s="1">
        <v>9372000</v>
      </c>
      <c r="D86" s="1">
        <v>14438000</v>
      </c>
      <c r="E86" s="1">
        <v>20125000</v>
      </c>
      <c r="F86" s="1">
        <v>36779000</v>
      </c>
      <c r="G86" s="1">
        <v>70787000</v>
      </c>
      <c r="H86" s="1">
        <v>125177000</v>
      </c>
      <c r="I86" s="1">
        <v>144497000</v>
      </c>
      <c r="J86" s="1" t="s">
        <v>92</v>
      </c>
      <c r="Q86" s="24" t="s">
        <v>129</v>
      </c>
      <c r="R86" s="25">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24" t="s">
        <v>130</v>
      </c>
      <c r="R87" s="25">
        <f>J61</f>
        <v>2335000000</v>
      </c>
    </row>
    <row r="88" spans="1:18" ht="20">
      <c r="A88" s="5" t="s">
        <v>74</v>
      </c>
      <c r="B88" s="1">
        <v>-1182000</v>
      </c>
      <c r="C88" s="1">
        <v>-4093000</v>
      </c>
      <c r="D88" s="1">
        <v>-6253000</v>
      </c>
      <c r="E88" s="1">
        <v>-6550000</v>
      </c>
      <c r="F88" s="1">
        <v>-19811000</v>
      </c>
      <c r="G88" s="1">
        <v>-15442000</v>
      </c>
      <c r="H88" s="1">
        <v>-13083000</v>
      </c>
      <c r="I88" s="1">
        <v>-12310000</v>
      </c>
      <c r="J88" s="1">
        <v>-12000000</v>
      </c>
      <c r="Q88" s="35" t="s">
        <v>131</v>
      </c>
      <c r="R88" s="36">
        <f>R85/(R86+R87)</f>
        <v>4.7109207708779443E-3</v>
      </c>
    </row>
    <row r="89" spans="1:18" ht="20" customHeight="1">
      <c r="A89" s="14" t="s">
        <v>105</v>
      </c>
      <c r="B89" s="15">
        <f t="shared" ref="B89:J89" si="7">(-1*B88)/B3</f>
        <v>2.8822238478419897E-2</v>
      </c>
      <c r="C89" s="15">
        <f t="shared" si="7"/>
        <v>4.7644545846089376E-2</v>
      </c>
      <c r="D89" s="15">
        <f t="shared" si="7"/>
        <v>3.9001783865374298E-2</v>
      </c>
      <c r="E89" s="15">
        <f t="shared" si="7"/>
        <v>2.5193276664487094E-2</v>
      </c>
      <c r="F89" s="15">
        <f t="shared" si="7"/>
        <v>4.9620041377168418E-2</v>
      </c>
      <c r="G89" s="15">
        <f t="shared" si="7"/>
        <v>2.6348523291705554E-2</v>
      </c>
      <c r="H89" s="15">
        <f t="shared" si="7"/>
        <v>1.5660311410732753E-2</v>
      </c>
      <c r="I89" s="15">
        <f t="shared" si="7"/>
        <v>9.4677669068090244E-3</v>
      </c>
      <c r="J89" s="15">
        <f t="shared" si="7"/>
        <v>6.4585575888051671E-3</v>
      </c>
      <c r="Q89" s="24" t="s">
        <v>106</v>
      </c>
      <c r="R89" s="25">
        <f>J27</f>
        <v>14000000</v>
      </c>
    </row>
    <row r="90" spans="1:18" ht="20">
      <c r="A90" s="5" t="s">
        <v>75</v>
      </c>
      <c r="B90" s="1">
        <v>-3200000</v>
      </c>
      <c r="C90" s="1" t="s">
        <v>92</v>
      </c>
      <c r="D90" s="1" t="s">
        <v>92</v>
      </c>
      <c r="E90" s="1" t="s">
        <v>92</v>
      </c>
      <c r="F90" s="1">
        <v>-15632000</v>
      </c>
      <c r="G90" s="1">
        <v>-44283000</v>
      </c>
      <c r="H90" s="1" t="s">
        <v>92</v>
      </c>
      <c r="I90" s="1">
        <v>-215175000</v>
      </c>
      <c r="J90" s="1">
        <v>-4000000</v>
      </c>
      <c r="Q90" s="24" t="s">
        <v>19</v>
      </c>
      <c r="R90" s="25">
        <f>J25</f>
        <v>-801000000</v>
      </c>
    </row>
    <row r="91" spans="1:18" ht="20">
      <c r="A91" s="5" t="s">
        <v>76</v>
      </c>
      <c r="B91" s="1">
        <v>-44526000</v>
      </c>
      <c r="C91" s="1">
        <v>-46360000</v>
      </c>
      <c r="D91" s="1" t="s">
        <v>92</v>
      </c>
      <c r="E91" s="1">
        <v>-129086000</v>
      </c>
      <c r="F91" s="1">
        <v>-631488000</v>
      </c>
      <c r="G91" s="1">
        <v>-999387000</v>
      </c>
      <c r="H91" s="1">
        <v>-2029030000</v>
      </c>
      <c r="I91" s="1">
        <v>-1846709000</v>
      </c>
      <c r="J91" s="1">
        <v>-1411000000</v>
      </c>
      <c r="Q91" s="35" t="s">
        <v>132</v>
      </c>
      <c r="R91" s="36">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37" t="s">
        <v>133</v>
      </c>
      <c r="R92" s="38">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61" t="s">
        <v>134</v>
      </c>
      <c r="R93" s="62"/>
    </row>
    <row r="94" spans="1:18" ht="20">
      <c r="A94" s="6" t="s">
        <v>79</v>
      </c>
      <c r="B94" s="10">
        <v>-48571000</v>
      </c>
      <c r="C94" s="10">
        <v>1160000</v>
      </c>
      <c r="D94" s="10">
        <v>6965000</v>
      </c>
      <c r="E94" s="10">
        <v>-99704000</v>
      </c>
      <c r="F94" s="10">
        <v>-197320000</v>
      </c>
      <c r="G94" s="10">
        <v>-688041000</v>
      </c>
      <c r="H94" s="10">
        <v>-1305146000</v>
      </c>
      <c r="I94" s="10">
        <v>-366812000</v>
      </c>
      <c r="J94" s="10">
        <v>-130000000</v>
      </c>
      <c r="Q94" s="24" t="s">
        <v>135</v>
      </c>
      <c r="R94" s="39">
        <v>4.095E-2</v>
      </c>
    </row>
    <row r="95" spans="1:18" ht="20">
      <c r="A95" s="5" t="s">
        <v>80</v>
      </c>
      <c r="B95" s="1" t="s">
        <v>92</v>
      </c>
      <c r="C95" s="1">
        <v>-213000</v>
      </c>
      <c r="D95" s="1">
        <v>-396000</v>
      </c>
      <c r="E95" s="1" t="s">
        <v>92</v>
      </c>
      <c r="F95" s="1" t="s">
        <v>92</v>
      </c>
      <c r="G95" s="1">
        <v>-224414000</v>
      </c>
      <c r="H95" s="1">
        <v>-446000</v>
      </c>
      <c r="I95" s="1">
        <v>-26000</v>
      </c>
      <c r="J95" s="1" t="s">
        <v>92</v>
      </c>
      <c r="Q95" s="24" t="s">
        <v>136</v>
      </c>
      <c r="R95" s="40" cm="1">
        <f t="array" ref="R95">_FV(A1,"Beta")</f>
        <v>1.1577</v>
      </c>
    </row>
    <row r="96" spans="1:18" ht="20">
      <c r="A96" s="5" t="s">
        <v>81</v>
      </c>
      <c r="B96" s="1" t="s">
        <v>92</v>
      </c>
      <c r="C96" s="1" t="s">
        <v>92</v>
      </c>
      <c r="D96" s="1" t="s">
        <v>92</v>
      </c>
      <c r="E96" s="1">
        <v>199948000</v>
      </c>
      <c r="F96" s="1" t="s">
        <v>92</v>
      </c>
      <c r="G96" s="1" t="s">
        <v>92</v>
      </c>
      <c r="H96" s="1" t="s">
        <v>92</v>
      </c>
      <c r="I96" s="1" t="s">
        <v>92</v>
      </c>
      <c r="J96" s="1" t="s">
        <v>92</v>
      </c>
      <c r="Q96" s="24" t="s">
        <v>137</v>
      </c>
      <c r="R96" s="39">
        <v>8.4000000000000005E-2</v>
      </c>
    </row>
    <row r="97" spans="1:19" ht="20">
      <c r="A97" s="5" t="s">
        <v>82</v>
      </c>
      <c r="B97" s="1" t="s">
        <v>92</v>
      </c>
      <c r="C97" s="1" t="s">
        <v>92</v>
      </c>
      <c r="D97" s="1" t="s">
        <v>92</v>
      </c>
      <c r="E97" s="1" t="s">
        <v>92</v>
      </c>
      <c r="F97" s="1" t="s">
        <v>92</v>
      </c>
      <c r="G97" s="1" t="s">
        <v>92</v>
      </c>
      <c r="H97" s="1" t="s">
        <v>92</v>
      </c>
      <c r="I97" s="1" t="s">
        <v>92</v>
      </c>
      <c r="J97" s="1" t="s">
        <v>92</v>
      </c>
      <c r="Q97" s="37" t="s">
        <v>138</v>
      </c>
      <c r="R97" s="38">
        <f>(R94)+((R95)*(R96-R94))</f>
        <v>9.0788985000000003E-2</v>
      </c>
    </row>
    <row r="98" spans="1:19" ht="19" customHeight="1">
      <c r="A98" s="5" t="s">
        <v>83</v>
      </c>
      <c r="B98" s="1" t="s">
        <v>92</v>
      </c>
      <c r="C98" s="1" t="s">
        <v>92</v>
      </c>
      <c r="D98" s="1" t="s">
        <v>92</v>
      </c>
      <c r="E98" s="1" t="s">
        <v>92</v>
      </c>
      <c r="F98" s="1" t="s">
        <v>92</v>
      </c>
      <c r="G98" s="1" t="s">
        <v>92</v>
      </c>
      <c r="H98" s="1" t="s">
        <v>92</v>
      </c>
      <c r="I98" s="1" t="s">
        <v>92</v>
      </c>
      <c r="J98" s="1" t="s">
        <v>92</v>
      </c>
      <c r="Q98" s="61" t="s">
        <v>139</v>
      </c>
      <c r="R98" s="62"/>
    </row>
    <row r="99" spans="1:19" ht="20">
      <c r="A99" s="5" t="s">
        <v>84</v>
      </c>
      <c r="B99" s="1">
        <v>77313000</v>
      </c>
      <c r="C99" s="1">
        <v>77054000</v>
      </c>
      <c r="D99" s="1">
        <v>853000</v>
      </c>
      <c r="E99" s="1">
        <v>37460000</v>
      </c>
      <c r="F99" s="1">
        <v>357762000</v>
      </c>
      <c r="G99" s="1">
        <v>1077799000</v>
      </c>
      <c r="H99" s="1">
        <v>1092044000</v>
      </c>
      <c r="I99" s="1">
        <v>89092000</v>
      </c>
      <c r="J99" s="1">
        <v>48000000</v>
      </c>
      <c r="Q99" s="24" t="s">
        <v>140</v>
      </c>
      <c r="R99" s="25">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35" t="s">
        <v>141</v>
      </c>
      <c r="R100" s="36">
        <f>R99/R103</f>
        <v>0.15330002094334333</v>
      </c>
    </row>
    <row r="101" spans="1:19" ht="20">
      <c r="A101" s="5" t="s">
        <v>86</v>
      </c>
      <c r="B101" s="1">
        <v>-7000</v>
      </c>
      <c r="C101" s="1">
        <v>-42000</v>
      </c>
      <c r="D101" s="1">
        <v>-120000</v>
      </c>
      <c r="E101" s="1">
        <v>487000</v>
      </c>
      <c r="F101" s="1">
        <v>-632000</v>
      </c>
      <c r="G101" s="1">
        <v>-209000</v>
      </c>
      <c r="H101" s="1">
        <v>2263000</v>
      </c>
      <c r="I101" s="1">
        <v>-2347000</v>
      </c>
      <c r="J101" s="1">
        <v>-6000000</v>
      </c>
      <c r="Q101" s="24" t="s">
        <v>142</v>
      </c>
      <c r="R101" s="41" cm="1">
        <f t="array" ref="R101">_FV(A1,"Market cap",TRUE)</f>
        <v>12896570000</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35" t="s">
        <v>143</v>
      </c>
      <c r="R102" s="36">
        <f>R101/R103</f>
        <v>0.84669997905665662</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37" t="s">
        <v>144</v>
      </c>
      <c r="R103" s="42">
        <f>R99+R101</f>
        <v>15231570000</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61" t="s">
        <v>145</v>
      </c>
      <c r="R104" s="62"/>
    </row>
    <row r="105" spans="1:19" ht="21" thickTop="1">
      <c r="A105" s="14" t="s">
        <v>107</v>
      </c>
      <c r="B105" s="1"/>
      <c r="C105" s="15">
        <f>(C106/B106)-1</f>
        <v>0.35140359724323411</v>
      </c>
      <c r="D105" s="15">
        <f>(D106/C106)-1</f>
        <v>0.11621784107635214</v>
      </c>
      <c r="E105" s="15">
        <f>(E106/D106)-1</f>
        <v>-0.30871236743866426</v>
      </c>
      <c r="F105" s="15">
        <f>(F106/E106)-1</f>
        <v>-0.79876951183471689</v>
      </c>
      <c r="G105" s="15">
        <f>(G106/F106)-1</f>
        <v>-4.6961281708945259</v>
      </c>
      <c r="H105" s="15">
        <f t="shared" ref="H105" si="8">(H106/G106)-1</f>
        <v>2.9948706834272505</v>
      </c>
      <c r="I105" s="15">
        <f>(I106/H106)-1</f>
        <v>-0.21008372967792099</v>
      </c>
      <c r="J105" s="15">
        <f>(J106/I106)-1</f>
        <v>-0.25595238095238093</v>
      </c>
      <c r="K105" s="15"/>
      <c r="L105" s="15"/>
      <c r="M105" s="15"/>
      <c r="N105" s="15"/>
      <c r="O105" s="15"/>
      <c r="P105" s="15"/>
      <c r="Q105" s="26" t="s">
        <v>108</v>
      </c>
      <c r="R105" s="27">
        <f>(R100*R92)+(R102*R97)</f>
        <v>7.7605838397279844E-2</v>
      </c>
      <c r="S105" s="15"/>
    </row>
    <row r="106" spans="1:19" ht="19">
      <c r="A106" s="5" t="s">
        <v>90</v>
      </c>
      <c r="B106" s="1">
        <v>-35694000</v>
      </c>
      <c r="C106" s="1">
        <v>-48237000</v>
      </c>
      <c r="D106" s="1">
        <v>-53843000</v>
      </c>
      <c r="E106" s="1">
        <v>-37221000</v>
      </c>
      <c r="F106" s="1">
        <v>-7490000</v>
      </c>
      <c r="G106" s="1">
        <v>27684000</v>
      </c>
      <c r="H106" s="1">
        <v>110594000</v>
      </c>
      <c r="I106" s="1">
        <v>87360000</v>
      </c>
      <c r="J106" s="1">
        <v>65000000</v>
      </c>
      <c r="K106" s="43">
        <f>J106*(1+$R$106)</f>
        <v>81103577.253514871</v>
      </c>
      <c r="L106" s="43">
        <f t="shared" ref="L106:O106" si="9">K106*(1+$R$106)</f>
        <v>101196772.97410546</v>
      </c>
      <c r="M106" s="43">
        <f t="shared" si="9"/>
        <v>126268004.5340272</v>
      </c>
      <c r="N106" s="43">
        <f t="shared" si="9"/>
        <v>157550567.08265603</v>
      </c>
      <c r="O106" s="43">
        <f t="shared" si="9"/>
        <v>196583301.3649734</v>
      </c>
      <c r="P106" s="44" t="s">
        <v>146</v>
      </c>
      <c r="Q106" s="45" t="s">
        <v>147</v>
      </c>
      <c r="R106" s="46">
        <f>(SUM(K4:O4)/5)</f>
        <v>0.24774734236176726</v>
      </c>
    </row>
    <row r="107" spans="1:19" ht="19">
      <c r="A107" s="5"/>
      <c r="B107" s="13"/>
      <c r="C107" s="13"/>
      <c r="D107" s="13"/>
      <c r="E107" s="13"/>
      <c r="F107" s="13"/>
      <c r="G107" s="13"/>
      <c r="H107" s="13"/>
      <c r="I107" s="13"/>
      <c r="J107" s="13"/>
      <c r="K107" s="44"/>
      <c r="L107" s="44"/>
      <c r="M107" s="44"/>
      <c r="N107" s="44"/>
      <c r="O107" s="47">
        <f>O106*(1+R107)/(R108-R107)</f>
        <v>3830333096.8206148</v>
      </c>
      <c r="P107" s="48" t="s">
        <v>148</v>
      </c>
      <c r="Q107" s="49" t="s">
        <v>149</v>
      </c>
      <c r="R107" s="50">
        <v>2.5000000000000001E-2</v>
      </c>
    </row>
    <row r="108" spans="1:19" ht="19">
      <c r="K108" s="47">
        <f t="shared" ref="K108:M108" si="10">K107+K106</f>
        <v>81103577.253514871</v>
      </c>
      <c r="L108" s="47">
        <f t="shared" si="10"/>
        <v>101196772.97410546</v>
      </c>
      <c r="M108" s="47">
        <f t="shared" si="10"/>
        <v>126268004.5340272</v>
      </c>
      <c r="N108" s="47">
        <f>N107+N106</f>
        <v>157550567.08265603</v>
      </c>
      <c r="O108" s="47">
        <f>O107+O106</f>
        <v>4026916398.1855884</v>
      </c>
      <c r="P108" s="48" t="s">
        <v>144</v>
      </c>
      <c r="Q108" s="51" t="s">
        <v>150</v>
      </c>
      <c r="R108" s="52">
        <f>R105</f>
        <v>7.7605838397279844E-2</v>
      </c>
    </row>
    <row r="109" spans="1:19" ht="19">
      <c r="K109" s="63" t="s">
        <v>151</v>
      </c>
      <c r="L109" s="64"/>
    </row>
    <row r="110" spans="1:19" ht="20">
      <c r="K110" s="53" t="s">
        <v>152</v>
      </c>
      <c r="L110" s="41">
        <f>NPV(R108,K108,L108,M108,N108,O108)</f>
        <v>3151383077.677844</v>
      </c>
    </row>
    <row r="111" spans="1:19" ht="20">
      <c r="K111" s="53" t="s">
        <v>153</v>
      </c>
      <c r="L111" s="41">
        <f>J40</f>
        <v>2580000000</v>
      </c>
    </row>
    <row r="112" spans="1:19" ht="20">
      <c r="K112" s="53" t="s">
        <v>140</v>
      </c>
      <c r="L112" s="41">
        <f>R99</f>
        <v>2335000000</v>
      </c>
    </row>
    <row r="113" spans="11:12" ht="20">
      <c r="K113" s="53" t="s">
        <v>154</v>
      </c>
      <c r="L113" s="41">
        <f>L110+L111-L112</f>
        <v>3396383077.677844</v>
      </c>
    </row>
    <row r="114" spans="11:12" ht="20">
      <c r="K114" s="53" t="s">
        <v>155</v>
      </c>
      <c r="L114" s="54">
        <f>J34*(1+(5*P16))</f>
        <v>269776442.6789403</v>
      </c>
    </row>
    <row r="115" spans="11:12" ht="20">
      <c r="K115" s="55" t="s">
        <v>156</v>
      </c>
      <c r="L115" s="56">
        <f>L113/L114</f>
        <v>12.589620664988395</v>
      </c>
    </row>
    <row r="116" spans="11:12" ht="20">
      <c r="K116" s="53" t="s">
        <v>157</v>
      </c>
      <c r="L116" s="57" cm="1">
        <f t="array" ref="L116">_FV(A1,"Price")</f>
        <v>79.959999999999994</v>
      </c>
    </row>
    <row r="117" spans="11:12" ht="20">
      <c r="K117" s="58" t="s">
        <v>158</v>
      </c>
      <c r="L117" s="59">
        <f>L115/L116-1</f>
        <v>-0.84255101719624315</v>
      </c>
    </row>
    <row r="118" spans="11:12" ht="20">
      <c r="K118" s="58" t="s">
        <v>159</v>
      </c>
      <c r="L118" s="60" t="str">
        <f>IF(L115&gt;L116,"BUY","SELL")</f>
        <v>SELL</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2023-01-12T09:17:50Z</dcterms:created>
  <dcterms:modified xsi:type="dcterms:W3CDTF">2023-04-23T07:20:25Z</dcterms:modified>
</cp:coreProperties>
</file>