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359A83E-92A8-8544-AB0E-66543BF1563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a="1"/>
  <c r="H114" i="1" s="1"/>
  <c r="H116" i="1" a="1"/>
  <c r="H116" i="1" s="1"/>
  <c r="N101" i="1" a="1"/>
  <c r="N101" i="1" s="1"/>
  <c r="N95" i="1" a="1"/>
  <c r="N95" i="1" s="1"/>
  <c r="N97" i="1" s="1"/>
  <c r="L16" i="1"/>
  <c r="N85" i="1"/>
  <c r="N88" i="1"/>
  <c r="N92" i="1"/>
  <c r="H111" i="1"/>
  <c r="N90" i="1"/>
  <c r="N89" i="1"/>
  <c r="N91" i="1"/>
  <c r="N87" i="1"/>
  <c r="N86" i="1"/>
  <c r="N99" i="1"/>
  <c r="L13" i="1"/>
  <c r="L4" i="1"/>
  <c r="L19" i="1"/>
  <c r="O13" i="1"/>
  <c r="N13" i="1"/>
  <c r="M13" i="1"/>
  <c r="O10" i="1"/>
  <c r="N10" i="1"/>
  <c r="M10" i="1"/>
  <c r="L10" i="1"/>
  <c r="O7" i="1"/>
  <c r="N7" i="1"/>
  <c r="M7" i="1"/>
  <c r="L7" i="1"/>
  <c r="O4" i="1"/>
  <c r="N4" i="1"/>
  <c r="M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106" i="1"/>
  <c r="G106" i="1"/>
  <c r="H106" i="1"/>
  <c r="H112" i="1"/>
  <c r="G108" i="1"/>
  <c r="H108" i="1"/>
  <c r="I106" i="1"/>
  <c r="J106" i="1"/>
  <c r="I108" i="1"/>
  <c r="K106" i="1"/>
  <c r="J108" i="1"/>
  <c r="N103" i="1" l="1"/>
  <c r="N100" i="1" s="1"/>
  <c r="N102" i="1"/>
  <c r="O16" i="1"/>
  <c r="N16" i="1"/>
  <c r="M16" i="1"/>
  <c r="N105" i="1" l="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<sst xmlns="http://schemas.openxmlformats.org/spreadsheetml/2006/main" count="273" uniqueCount="160">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</sst>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167" fontId="1" fillId="4" borderId="10" xfId="0" applyNumberFormat="1" applyFont="1" applyFill="1" applyBorder="1"/>
    <xf numFmtId="39" fontId="1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14569536423829E-2"/>
          <c:y val="0.1122254738078059"/>
          <c:w val="0.86385430463576174"/>
          <c:h val="0.7651331232998265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96666000</c:v>
                </c:pt>
                <c:pt idx="1">
                  <c:v>264748000</c:v>
                </c:pt>
                <c:pt idx="2">
                  <c:v>592049000</c:v>
                </c:pt>
                <c:pt idx="3">
                  <c:v>1219327000</c:v>
                </c:pt>
                <c:pt idx="4">
                  <c:v>2065659000</c:v>
                </c:pt>
              </c:numCache>
            </c:numRef>
          </c:val>
          <c:extLst>
            <c:ext xmlns:c16="http://schemas.microsoft.com/office/drawing/2014/chart" uri="{C3380CC4-5D6E-409C-BE32-E72D297353CC}">
              <c16:uniqueId val="{00000000-72B3-3E4A-AC3E-941547BABF0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-175846000</c:v>
                </c:pt>
                <c:pt idx="1">
                  <c:v>-344020000</c:v>
                </c:pt>
                <c:pt idx="2">
                  <c:v>-527214000</c:v>
                </c:pt>
                <c:pt idx="3">
                  <c:v>-646333000</c:v>
                </c:pt>
                <c:pt idx="4">
                  <c:v>-711206000</c:v>
                </c:pt>
              </c:numCache>
            </c:numRef>
          </c:val>
          <c:extLst>
            <c:ext xmlns:c16="http://schemas.microsoft.com/office/drawing/2014/chart" uri="{C3380CC4-5D6E-409C-BE32-E72D297353CC}">
              <c16:uniqueId val="{00000001-72B3-3E4A-AC3E-941547BABF0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-147998000</c:v>
                </c:pt>
                <c:pt idx="1">
                  <c:v>-199406000</c:v>
                </c:pt>
                <c:pt idx="2">
                  <c:v>-94121000</c:v>
                </c:pt>
                <c:pt idx="3">
                  <c:v>56852000</c:v>
                </c:pt>
                <c:pt idx="4">
                  <c:v>496499000</c:v>
                </c:pt>
              </c:numCache>
            </c:numRef>
          </c:val>
          <c:extLst>
            <c:ext xmlns:c16="http://schemas.microsoft.com/office/drawing/2014/chart" uri="{C3380CC4-5D6E-409C-BE32-E72D297353CC}">
              <c16:uniqueId val="{00000002-72B3-3E4A-AC3E-941547BABF04}"/>
            </c:ext>
          </c:extLst>
        </c:ser>
        <c:dLbls>
          <c:showLegendKey val="0"/>
          <c:showVal val="0"/>
          <c:showCatName val="0"/>
          <c:showSerName val="0"/>
          <c:showPercent val="0"/>
          <c:showBubbleSize val="0"/>
        </c:dLbls>
        <c:gapWidth val="100"/>
        <c:overlap val="-24"/>
        <c:axId val="1862005007"/>
        <c:axId val="1861356575"/>
      </c:barChart>
      <c:catAx>
        <c:axId val="1862005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1356575"/>
        <c:crosses val="autoZero"/>
        <c:auto val="1"/>
        <c:lblAlgn val="ctr"/>
        <c:lblOffset val="100"/>
        <c:noMultiLvlLbl val="0"/>
      </c:catAx>
      <c:valAx>
        <c:axId val="186135657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2005007"/>
        <c:crosses val="autoZero"/>
        <c:crossBetween val="between"/>
      </c:valAx>
      <c:spPr>
        <a:noFill/>
        <a:ln>
          <a:noFill/>
        </a:ln>
        <a:effectLst/>
      </c:spPr>
    </c:plotArea>
    <c:legend>
      <c:legendPos val="b"/>
      <c:layout>
        <c:manualLayout>
          <c:xMode val="edge"/>
          <c:yMode val="edge"/>
          <c:x val="0.35352025864316627"/>
          <c:y val="0.91007739570402302"/>
          <c:w val="0.30355550920373364"/>
          <c:h val="4.6667055064332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31750</xdr:colOff>
      <xdr:row>108</xdr:row>
      <xdr:rowOff>25399</xdr:rowOff>
    </xdr:from>
    <xdr:to>
      <xdr:col>14</xdr:col>
      <xdr:colOff>0</xdr:colOff>
      <xdr:row>132</xdr:row>
      <xdr:rowOff>190499</xdr:rowOff>
    </xdr:to>
    <xdr:graphicFrame macro="">
      <xdr:nvGraphicFramePr>
        <xdr:cNvPr id="2" name="Chart 1">
          <a:extLst>
            <a:ext uri="{FF2B5EF4-FFF2-40B4-BE49-F238E27FC236}">
              <a16:creationId xmlns:a16="http://schemas.microsoft.com/office/drawing/2014/main" id="{8843FC44-0718-38F5-21C3-0FDC75848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205.66</v>
    <v>110.265</v>
    <v>1.583</v>
    <v>2.4700000000000002</v>
    <v>1.7306999999999999E-2</v>
    <v>-0.04</v>
    <v>-2.7550000000000003E-4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146.80000000000001</v>
    <v>Software &amp; IT Services</v>
    <v>Stock</v>
    <v>45037.999829131251</v>
    <v>0</v>
    <v>143.52000000000001</v>
    <v>47186750000</v>
    <v>SNOWFLAKE INC.</v>
    <v>SNOWFLAKE INC.</v>
    <v>144.07</v>
    <v>142.72</v>
    <v>145.19</v>
    <v>145.15</v>
    <v>325000000</v>
    <v>SNOW</v>
    <v>SNOWFLAKE INC. (XNYS:SNOW)</v>
    <v>3672166</v>
    <v>4996156</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2" activePane="bottomRight" state="frozen"/>
      <selection pane="topRight"/>
      <selection pane="bottomLeft"/>
      <selection pane="bottomRight" activeCell="H13" sqref="H13"/>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8">
        <v>2024</v>
      </c>
      <c r="H1" s="28">
        <v>2025</v>
      </c>
      <c r="I1" s="28">
        <v>2026</v>
      </c>
      <c r="J1" s="28">
        <v>2027</v>
      </c>
      <c r="K1" s="28">
        <v>2028</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96666000</v>
      </c>
      <c r="C3" s="1">
        <v>264748000</v>
      </c>
      <c r="D3" s="1">
        <v>592049000</v>
      </c>
      <c r="E3" s="1">
        <v>1219327000</v>
      </c>
      <c r="F3" s="1">
        <v>2065659000</v>
      </c>
      <c r="G3" s="29">
        <v>2877000000</v>
      </c>
      <c r="H3" s="29">
        <v>3926000000</v>
      </c>
      <c r="I3" s="29">
        <v>5332000000</v>
      </c>
      <c r="J3" s="29">
        <v>7544000000</v>
      </c>
      <c r="K3" s="29">
        <v>9703000000</v>
      </c>
      <c r="L3" s="19" t="s">
        <v>109</v>
      </c>
      <c r="M3" s="20" t="s">
        <v>110</v>
      </c>
      <c r="N3" s="20" t="s">
        <v>111</v>
      </c>
      <c r="O3" s="20" t="s">
        <v>112</v>
      </c>
    </row>
    <row r="4" spans="1:38" ht="19" x14ac:dyDescent="0.25">
      <c r="A4" s="14" t="s">
        <v>94</v>
      </c>
      <c r="B4" s="1"/>
      <c r="C4" s="15">
        <f>(C3/B3)-1</f>
        <v>1.7387913020089796</v>
      </c>
      <c r="D4" s="15">
        <f>(D3/C3)-1</f>
        <v>1.2362737395561063</v>
      </c>
      <c r="E4" s="15">
        <f>(E3/D3)-1</f>
        <v>1.0595035208234456</v>
      </c>
      <c r="F4" s="15">
        <f t="shared" ref="F4:K4" si="0">(F3/E3)-1</f>
        <v>0.69409764566847132</v>
      </c>
      <c r="G4" s="16">
        <f t="shared" si="0"/>
        <v>0.39277586474824733</v>
      </c>
      <c r="H4" s="16">
        <f t="shared" si="0"/>
        <v>0.36461591936044502</v>
      </c>
      <c r="I4" s="16">
        <f t="shared" si="0"/>
        <v>0.35812531839021911</v>
      </c>
      <c r="J4" s="16">
        <f t="shared" si="0"/>
        <v>0.4148537134283572</v>
      </c>
      <c r="K4" s="16">
        <f t="shared" si="0"/>
        <v>0.28618769883351014</v>
      </c>
      <c r="L4" s="17">
        <f>(F4+E4+D4)/3</f>
        <v>0.99662496868267436</v>
      </c>
      <c r="M4" s="17">
        <f>(F20+E20+D20)/3</f>
        <v>0.28627370306388727</v>
      </c>
      <c r="N4" s="17">
        <f>(F29+E29+D29)/3</f>
        <v>0.32658024734885066</v>
      </c>
      <c r="O4" s="17">
        <f>(F105+E105+D105)/3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L6" s="19" t="s">
        <v>113</v>
      </c>
      <c r="M6" s="20" t="s">
        <v>114</v>
      </c>
      <c r="N6" s="20" t="s">
        <v>115</v>
      </c>
      <c r="O6" s="20" t="s">
        <v>116</v>
      </c>
    </row>
    <row r="7" spans="1:38" ht="19" x14ac:dyDescent="0.25">
      <c r="A7" s="5" t="s">
        <v>4</v>
      </c>
      <c r="B7" s="2">
        <v>0.46460000000000001</v>
      </c>
      <c r="C7" s="2">
        <v>0.55969999999999998</v>
      </c>
      <c r="D7" s="2">
        <v>0.59030000000000005</v>
      </c>
      <c r="E7" s="2">
        <v>0.624</v>
      </c>
      <c r="F7" s="2">
        <v>0.65259999999999996</v>
      </c>
      <c r="L7" s="17">
        <f>F7</f>
        <v>0.65259999999999996</v>
      </c>
      <c r="M7" s="21">
        <f>F21</f>
        <v>-0.34429999999999999</v>
      </c>
      <c r="N7" s="21">
        <f>F30</f>
        <v>-0.38569999999999999</v>
      </c>
      <c r="O7" s="21">
        <f>F106/F3</f>
        <v>0.24035864583651029</v>
      </c>
    </row>
    <row r="8" spans="1:38" ht="19" x14ac:dyDescent="0.25">
      <c r="A8" s="5" t="s">
        <v>5</v>
      </c>
      <c r="B8" s="1">
        <v>68681000</v>
      </c>
      <c r="C8" s="1">
        <v>105160000</v>
      </c>
      <c r="D8" s="1">
        <v>237946000</v>
      </c>
      <c r="E8" s="1">
        <v>466932000</v>
      </c>
      <c r="F8" s="1">
        <v>788058000</v>
      </c>
    </row>
    <row r="9" spans="1:38" ht="19" customHeight="1" x14ac:dyDescent="0.25">
      <c r="A9" s="14" t="s">
        <v>95</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96</v>
      </c>
      <c r="M9" s="20" t="s">
        <v>97</v>
      </c>
      <c r="N9" s="20" t="s">
        <v>98</v>
      </c>
      <c r="O9" s="20" t="s">
        <v>99</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117</v>
      </c>
      <c r="M12" s="20" t="s">
        <v>118</v>
      </c>
      <c r="N12" s="20" t="s">
        <v>119</v>
      </c>
      <c r="O12" s="20" t="s">
        <v>120</v>
      </c>
    </row>
    <row r="13" spans="1:38" ht="19" x14ac:dyDescent="0.25">
      <c r="A13" s="14" t="s">
        <v>100</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92</v>
      </c>
      <c r="C14" s="1" t="s">
        <v>92</v>
      </c>
      <c r="D14" s="1" t="s">
        <v>92</v>
      </c>
      <c r="E14" s="1" t="s">
        <v>92</v>
      </c>
      <c r="F14" s="1" t="s">
        <v>92</v>
      </c>
    </row>
    <row r="15" spans="1:38" ht="20" x14ac:dyDescent="0.25">
      <c r="A15" s="5" t="s">
        <v>10</v>
      </c>
      <c r="B15" s="1">
        <v>230378000</v>
      </c>
      <c r="C15" s="1">
        <v>506279000</v>
      </c>
      <c r="D15" s="1">
        <v>893398000</v>
      </c>
      <c r="E15" s="1">
        <v>1475930000</v>
      </c>
      <c r="F15" s="1">
        <v>2190386000</v>
      </c>
      <c r="L15" s="19" t="s">
        <v>158</v>
      </c>
      <c r="M15" s="20" t="s">
        <v>121</v>
      </c>
      <c r="N15" s="20" t="s">
        <v>122</v>
      </c>
      <c r="O15" s="20" t="s">
        <v>123</v>
      </c>
    </row>
    <row r="16" spans="1:38" ht="19" x14ac:dyDescent="0.25">
      <c r="A16" s="5" t="s">
        <v>11</v>
      </c>
      <c r="B16" s="1">
        <v>282131000</v>
      </c>
      <c r="C16" s="1">
        <v>622836000</v>
      </c>
      <c r="D16" s="1">
        <v>1135986000</v>
      </c>
      <c r="E16" s="1">
        <v>1934363000</v>
      </c>
      <c r="F16" s="1">
        <v>2907926000</v>
      </c>
      <c r="L16" s="30">
        <f>(F35+E35+D35+C35)/4</f>
        <v>0.20264518659597172</v>
      </c>
      <c r="M16" s="31">
        <f>N101/F3</f>
        <v>22.843436404556609</v>
      </c>
      <c r="N16" s="31">
        <f>N101/F28</f>
        <v>-59.227380272497349</v>
      </c>
      <c r="O16" s="32">
        <f>N101/F106</f>
        <v>95.038962817649178</v>
      </c>
    </row>
    <row r="17" spans="1:12" ht="19" x14ac:dyDescent="0.25">
      <c r="A17" s="5" t="s">
        <v>12</v>
      </c>
      <c r="B17" s="1" t="s">
        <v>92</v>
      </c>
      <c r="C17" s="1" t="s">
        <v>92</v>
      </c>
      <c r="D17" s="1" t="s">
        <v>92</v>
      </c>
      <c r="E17" s="1">
        <v>9129000</v>
      </c>
      <c r="F17" s="1">
        <v>73839000</v>
      </c>
    </row>
    <row r="18" spans="1:12" ht="20" x14ac:dyDescent="0.25">
      <c r="A18" s="5" t="s">
        <v>13</v>
      </c>
      <c r="B18" s="1">
        <v>1362000</v>
      </c>
      <c r="C18" s="1">
        <v>3522000</v>
      </c>
      <c r="D18" s="1">
        <v>9826000</v>
      </c>
      <c r="E18" s="1">
        <v>21498000</v>
      </c>
      <c r="F18" s="1">
        <v>67032000</v>
      </c>
      <c r="L18" s="19" t="s">
        <v>124</v>
      </c>
    </row>
    <row r="19" spans="1:12" ht="19" x14ac:dyDescent="0.25">
      <c r="A19" s="6" t="s">
        <v>14</v>
      </c>
      <c r="B19" s="10">
        <v>-175846000</v>
      </c>
      <c r="C19" s="10">
        <v>-344020000</v>
      </c>
      <c r="D19" s="10">
        <v>-527214000</v>
      </c>
      <c r="E19" s="10">
        <v>-646333000</v>
      </c>
      <c r="F19" s="10">
        <v>-711206000</v>
      </c>
      <c r="L19" s="33">
        <f>F40-F56-F61</f>
        <v>3756210000</v>
      </c>
    </row>
    <row r="20" spans="1:12" ht="19" customHeight="1" x14ac:dyDescent="0.25">
      <c r="A20" s="14" t="s">
        <v>101</v>
      </c>
      <c r="B20" s="1"/>
      <c r="C20" s="15">
        <f>(C19/B19)-1</f>
        <v>0.95637091546011854</v>
      </c>
      <c r="D20" s="15">
        <f>(D19/C19)-1</f>
        <v>0.53250973780594157</v>
      </c>
      <c r="E20" s="15">
        <f>(E19/D19)-1</f>
        <v>0.22594050992576076</v>
      </c>
      <c r="F20" s="15">
        <f t="shared" ref="F20" si="3">(F19/E19)-1</f>
        <v>0.10037086145995944</v>
      </c>
    </row>
    <row r="21" spans="1:12" ht="19" x14ac:dyDescent="0.25">
      <c r="A21" s="5" t="s">
        <v>15</v>
      </c>
      <c r="B21" s="2">
        <v>-1.8190999999999999</v>
      </c>
      <c r="C21" s="2">
        <v>-1.2994000000000001</v>
      </c>
      <c r="D21" s="2">
        <v>-0.89049999999999996</v>
      </c>
      <c r="E21" s="2">
        <v>-0.53010000000000002</v>
      </c>
      <c r="F21" s="2">
        <v>-0.34429999999999999</v>
      </c>
    </row>
    <row r="22" spans="1:12" ht="19" x14ac:dyDescent="0.25">
      <c r="A22" s="6" t="s">
        <v>16</v>
      </c>
      <c r="B22" s="10">
        <v>-185465000</v>
      </c>
      <c r="C22" s="10">
        <v>-358088000</v>
      </c>
      <c r="D22" s="10">
        <v>-543937000</v>
      </c>
      <c r="E22" s="10">
        <v>-715036000</v>
      </c>
      <c r="F22" s="10">
        <v>-842267000</v>
      </c>
    </row>
    <row r="23" spans="1:12" ht="19" x14ac:dyDescent="0.25">
      <c r="A23" s="5" t="s">
        <v>17</v>
      </c>
      <c r="B23" s="2">
        <v>-1.9186000000000001</v>
      </c>
      <c r="C23" s="2">
        <v>-1.3526</v>
      </c>
      <c r="D23" s="2">
        <v>-0.91869999999999996</v>
      </c>
      <c r="E23" s="2">
        <v>-0.58640000000000003</v>
      </c>
      <c r="F23" s="2">
        <v>-0.40770000000000001</v>
      </c>
    </row>
    <row r="24" spans="1:12" ht="19" x14ac:dyDescent="0.25">
      <c r="A24" s="5" t="s">
        <v>18</v>
      </c>
      <c r="B24" s="1">
        <v>8257000</v>
      </c>
      <c r="C24" s="1">
        <v>10546000</v>
      </c>
      <c r="D24" s="1">
        <v>6897000</v>
      </c>
      <c r="E24" s="1">
        <v>38076000</v>
      </c>
      <c r="F24" s="1">
        <v>26274000</v>
      </c>
    </row>
    <row r="25" spans="1:12" ht="19" x14ac:dyDescent="0.25">
      <c r="A25" s="6" t="s">
        <v>19</v>
      </c>
      <c r="B25" s="10">
        <v>-177208000</v>
      </c>
      <c r="C25" s="10">
        <v>-347542000</v>
      </c>
      <c r="D25" s="10">
        <v>-537040000</v>
      </c>
      <c r="E25" s="10">
        <v>-676960000</v>
      </c>
      <c r="F25" s="10">
        <v>-815993000</v>
      </c>
    </row>
    <row r="26" spans="1:12" ht="19" x14ac:dyDescent="0.25">
      <c r="A26" s="5" t="s">
        <v>20</v>
      </c>
      <c r="B26" s="2">
        <v>-1.8331999999999999</v>
      </c>
      <c r="C26" s="2">
        <v>-1.3127</v>
      </c>
      <c r="D26" s="2">
        <v>-0.90710000000000002</v>
      </c>
      <c r="E26" s="2">
        <v>-0.55520000000000003</v>
      </c>
      <c r="F26" s="2">
        <v>-0.39500000000000002</v>
      </c>
    </row>
    <row r="27" spans="1:12" ht="19" x14ac:dyDescent="0.25">
      <c r="A27" s="5" t="s">
        <v>21</v>
      </c>
      <c r="B27" s="1">
        <v>820000</v>
      </c>
      <c r="C27" s="1">
        <v>993000</v>
      </c>
      <c r="D27" s="1">
        <v>2062000</v>
      </c>
      <c r="E27" s="1">
        <v>2988000</v>
      </c>
      <c r="F27" s="1">
        <v>18467000</v>
      </c>
    </row>
    <row r="28" spans="1:12" ht="19" x14ac:dyDescent="0.25">
      <c r="A28" s="7" t="s">
        <v>22</v>
      </c>
      <c r="B28" s="11">
        <v>-178028000</v>
      </c>
      <c r="C28" s="11">
        <v>-348535000</v>
      </c>
      <c r="D28" s="11">
        <v>-539102000</v>
      </c>
      <c r="E28" s="11">
        <v>-679948000</v>
      </c>
      <c r="F28" s="11">
        <v>-796705000</v>
      </c>
    </row>
    <row r="29" spans="1:12" ht="20" customHeight="1" x14ac:dyDescent="0.25">
      <c r="A29" s="14" t="s">
        <v>102</v>
      </c>
      <c r="B29" s="1"/>
      <c r="C29" s="15">
        <f>(C28/B28)-1</f>
        <v>0.95775383647516121</v>
      </c>
      <c r="D29" s="15">
        <f>(D28/C28)-1</f>
        <v>0.54676574805973566</v>
      </c>
      <c r="E29" s="15">
        <f>(E28/D28)-1</f>
        <v>0.26126039228198006</v>
      </c>
      <c r="F29" s="15">
        <f t="shared" ref="F29" si="4">(F28/E28)-1</f>
        <v>0.17171460170483632</v>
      </c>
    </row>
    <row r="30" spans="1:12" ht="19" x14ac:dyDescent="0.25">
      <c r="A30" s="5" t="s">
        <v>23</v>
      </c>
      <c r="B30" s="2">
        <v>-1.8416999999999999</v>
      </c>
      <c r="C30" s="2">
        <v>-1.3165</v>
      </c>
      <c r="D30" s="2">
        <v>-0.91059999999999997</v>
      </c>
      <c r="E30" s="2">
        <v>-0.55759999999999998</v>
      </c>
      <c r="F30" s="2">
        <v>-0.38569999999999999</v>
      </c>
    </row>
    <row r="31" spans="1:12" ht="19" x14ac:dyDescent="0.25">
      <c r="A31" s="5" t="s">
        <v>24</v>
      </c>
      <c r="B31" s="12">
        <v>-0.75</v>
      </c>
      <c r="C31" s="12">
        <v>-1.63</v>
      </c>
      <c r="D31" s="12">
        <v>-3.81</v>
      </c>
      <c r="E31" s="12">
        <v>-2.2599999999999998</v>
      </c>
      <c r="F31" s="12">
        <v>-2.5</v>
      </c>
    </row>
    <row r="32" spans="1:12" ht="19" x14ac:dyDescent="0.25">
      <c r="A32" s="5" t="s">
        <v>25</v>
      </c>
      <c r="B32" s="12">
        <v>-0.75</v>
      </c>
      <c r="C32" s="12">
        <v>-1.63</v>
      </c>
      <c r="D32" s="12">
        <v>-3.81</v>
      </c>
      <c r="E32" s="12">
        <v>-2.2599999999999998</v>
      </c>
      <c r="F32" s="12">
        <v>-2.5</v>
      </c>
    </row>
    <row r="33" spans="1:6" ht="19" x14ac:dyDescent="0.25">
      <c r="A33" s="5" t="s">
        <v>26</v>
      </c>
      <c r="B33" s="1">
        <v>238369506</v>
      </c>
      <c r="C33" s="1">
        <v>214327427</v>
      </c>
      <c r="D33" s="1">
        <v>141613196</v>
      </c>
      <c r="E33" s="1">
        <v>141613196</v>
      </c>
      <c r="F33" s="1">
        <v>318730000</v>
      </c>
    </row>
    <row r="34" spans="1:6" ht="19" x14ac:dyDescent="0.25">
      <c r="A34" s="5" t="s">
        <v>27</v>
      </c>
      <c r="B34" s="1">
        <v>238369506</v>
      </c>
      <c r="C34" s="1">
        <v>214327427</v>
      </c>
      <c r="D34" s="1">
        <v>141613196</v>
      </c>
      <c r="E34" s="1">
        <v>141613196</v>
      </c>
      <c r="F34" s="1">
        <v>318730000</v>
      </c>
    </row>
    <row r="35" spans="1:6" ht="20" customHeight="1" x14ac:dyDescent="0.25">
      <c r="A35" s="14" t="s">
        <v>103</v>
      </c>
      <c r="B35" s="1"/>
      <c r="C35" s="23">
        <f>(C34-B34)/B34</f>
        <v>-0.10086054799308096</v>
      </c>
      <c r="D35" s="23">
        <f t="shared" ref="D35:F35" si="5">(D34-C34)/C34</f>
        <v>-0.33926703650485202</v>
      </c>
      <c r="E35" s="23">
        <f t="shared" si="5"/>
        <v>0</v>
      </c>
      <c r="F35" s="23">
        <f t="shared" si="5"/>
        <v>1.2507083308818199</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116541000</v>
      </c>
      <c r="C38" s="1">
        <v>127206000</v>
      </c>
      <c r="D38" s="1">
        <v>820177000</v>
      </c>
      <c r="E38" s="1">
        <v>1085729000</v>
      </c>
      <c r="F38" s="1">
        <v>939902000</v>
      </c>
    </row>
    <row r="39" spans="1:6" ht="19" x14ac:dyDescent="0.25">
      <c r="A39" s="5" t="s">
        <v>31</v>
      </c>
      <c r="B39" s="1">
        <v>492257000</v>
      </c>
      <c r="C39" s="1">
        <v>306844000</v>
      </c>
      <c r="D39" s="1">
        <v>3087887000</v>
      </c>
      <c r="E39" s="1">
        <v>2766364000</v>
      </c>
      <c r="F39" s="1">
        <v>3067966000</v>
      </c>
    </row>
    <row r="40" spans="1:6" ht="19" x14ac:dyDescent="0.25">
      <c r="A40" s="5" t="s">
        <v>32</v>
      </c>
      <c r="B40" s="1">
        <v>608798000</v>
      </c>
      <c r="C40" s="1">
        <v>434050000</v>
      </c>
      <c r="D40" s="1">
        <v>3908064000</v>
      </c>
      <c r="E40" s="1">
        <v>3852093000</v>
      </c>
      <c r="F40" s="1">
        <v>4007868000</v>
      </c>
    </row>
    <row r="41" spans="1:6" ht="19" x14ac:dyDescent="0.25">
      <c r="A41" s="5" t="s">
        <v>33</v>
      </c>
      <c r="B41" s="1">
        <v>63359000</v>
      </c>
      <c r="C41" s="1">
        <v>179459000</v>
      </c>
      <c r="D41" s="1">
        <v>294017000</v>
      </c>
      <c r="E41" s="1">
        <v>545629000</v>
      </c>
      <c r="F41" s="1">
        <v>715821000</v>
      </c>
    </row>
    <row r="42" spans="1:6" ht="19" x14ac:dyDescent="0.25">
      <c r="A42" s="5" t="s">
        <v>34</v>
      </c>
      <c r="B42" s="1" t="s">
        <v>92</v>
      </c>
      <c r="C42" s="1" t="s">
        <v>92</v>
      </c>
      <c r="D42" s="1" t="s">
        <v>92</v>
      </c>
      <c r="E42" s="1" t="s">
        <v>92</v>
      </c>
      <c r="F42" s="1" t="s">
        <v>92</v>
      </c>
    </row>
    <row r="43" spans="1:6" ht="19" x14ac:dyDescent="0.25">
      <c r="A43" s="5" t="s">
        <v>35</v>
      </c>
      <c r="B43" s="1">
        <v>26795000</v>
      </c>
      <c r="C43" s="1">
        <v>51685000</v>
      </c>
      <c r="D43" s="1">
        <v>98571000</v>
      </c>
      <c r="E43" s="1">
        <v>200921000</v>
      </c>
      <c r="F43" s="1">
        <v>261001000</v>
      </c>
    </row>
    <row r="44" spans="1:6" ht="19" x14ac:dyDescent="0.25">
      <c r="A44" s="6" t="s">
        <v>36</v>
      </c>
      <c r="B44" s="10">
        <v>698952000</v>
      </c>
      <c r="C44" s="10">
        <v>665194000</v>
      </c>
      <c r="D44" s="10">
        <v>4300652000</v>
      </c>
      <c r="E44" s="10">
        <v>4598643000</v>
      </c>
      <c r="F44" s="10">
        <v>4984690000</v>
      </c>
    </row>
    <row r="45" spans="1:6" ht="19" x14ac:dyDescent="0.25">
      <c r="A45" s="5" t="s">
        <v>37</v>
      </c>
      <c r="B45" s="1">
        <v>22756000</v>
      </c>
      <c r="C45" s="1">
        <v>223112000</v>
      </c>
      <c r="D45" s="1">
        <v>255786000</v>
      </c>
      <c r="E45" s="1">
        <v>295435000</v>
      </c>
      <c r="F45" s="1">
        <v>392089000</v>
      </c>
    </row>
    <row r="46" spans="1:6" ht="19" x14ac:dyDescent="0.25">
      <c r="A46" s="5" t="s">
        <v>38</v>
      </c>
      <c r="B46" s="1" t="s">
        <v>92</v>
      </c>
      <c r="C46" s="1">
        <v>7049000</v>
      </c>
      <c r="D46" s="1">
        <v>8449000</v>
      </c>
      <c r="E46" s="1">
        <v>8449000</v>
      </c>
      <c r="F46" s="1">
        <v>657370000</v>
      </c>
    </row>
    <row r="47" spans="1:6" ht="19" x14ac:dyDescent="0.25">
      <c r="A47" s="5" t="s">
        <v>39</v>
      </c>
      <c r="B47" s="1">
        <v>20000</v>
      </c>
      <c r="C47" s="1">
        <v>4795000</v>
      </c>
      <c r="D47" s="1">
        <v>16091000</v>
      </c>
      <c r="E47" s="1">
        <v>37141000</v>
      </c>
      <c r="F47" s="1">
        <v>186013000</v>
      </c>
    </row>
    <row r="48" spans="1:6" ht="19" x14ac:dyDescent="0.25">
      <c r="A48" s="5" t="s">
        <v>40</v>
      </c>
      <c r="B48" s="1">
        <v>20000</v>
      </c>
      <c r="C48" s="1">
        <v>11844000</v>
      </c>
      <c r="D48" s="1">
        <v>24540000</v>
      </c>
      <c r="E48" s="1">
        <v>45590000</v>
      </c>
      <c r="F48" s="1">
        <v>843383000</v>
      </c>
    </row>
    <row r="49" spans="1:6" ht="19" x14ac:dyDescent="0.25">
      <c r="A49" s="5" t="s">
        <v>41</v>
      </c>
      <c r="B49" s="1" t="s">
        <v>92</v>
      </c>
      <c r="C49" s="1">
        <v>23532000</v>
      </c>
      <c r="D49" s="1">
        <v>1165275000</v>
      </c>
      <c r="E49" s="1">
        <v>1256207000</v>
      </c>
      <c r="F49" s="1">
        <v>1073023000</v>
      </c>
    </row>
    <row r="50" spans="1:6" ht="19" x14ac:dyDescent="0.25">
      <c r="A50" s="5" t="s">
        <v>42</v>
      </c>
      <c r="B50" s="1" t="s">
        <v>92</v>
      </c>
      <c r="C50" s="1" t="s">
        <v>92</v>
      </c>
      <c r="D50" s="1" t="s">
        <v>92</v>
      </c>
      <c r="E50" s="1" t="s">
        <v>92</v>
      </c>
      <c r="F50" s="1" t="s">
        <v>92</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92</v>
      </c>
      <c r="C53" s="1" t="s">
        <v>92</v>
      </c>
      <c r="D53" s="1" t="s">
        <v>92</v>
      </c>
      <c r="E53" s="1" t="s">
        <v>92</v>
      </c>
      <c r="F53" s="1" t="s">
        <v>92</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92</v>
      </c>
      <c r="C56" s="1" t="s">
        <v>92</v>
      </c>
      <c r="D56" s="1">
        <v>19650000</v>
      </c>
      <c r="E56" s="1">
        <v>25101000</v>
      </c>
      <c r="F56" s="1">
        <v>27301000</v>
      </c>
    </row>
    <row r="57" spans="1:6" ht="19" x14ac:dyDescent="0.25">
      <c r="A57" s="5" t="s">
        <v>49</v>
      </c>
      <c r="B57" s="1" t="s">
        <v>92</v>
      </c>
      <c r="C57" s="1" t="s">
        <v>92</v>
      </c>
      <c r="D57" s="1">
        <v>4498000</v>
      </c>
      <c r="E57" s="1">
        <v>12709000</v>
      </c>
      <c r="F57" s="1" t="s">
        <v>92</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92</v>
      </c>
      <c r="C61" s="1" t="s">
        <v>92</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92</v>
      </c>
      <c r="C63" s="1" t="s">
        <v>92</v>
      </c>
      <c r="D63" s="1" t="s">
        <v>92</v>
      </c>
      <c r="E63" s="1" t="s">
        <v>92</v>
      </c>
      <c r="F63" s="1" t="s">
        <v>92</v>
      </c>
    </row>
    <row r="64" spans="1:6" ht="19" x14ac:dyDescent="0.25">
      <c r="A64" s="5" t="s">
        <v>55</v>
      </c>
      <c r="B64" s="1">
        <v>928866000</v>
      </c>
      <c r="C64" s="1">
        <v>1138115000</v>
      </c>
      <c r="D64" s="1">
        <v>6923000</v>
      </c>
      <c r="E64" s="1">
        <v>11184000</v>
      </c>
      <c r="F64" s="1" t="s">
        <v>92</v>
      </c>
    </row>
    <row r="65" spans="1:6" ht="19" x14ac:dyDescent="0.25">
      <c r="A65" s="5" t="s">
        <v>56</v>
      </c>
      <c r="B65" s="1">
        <v>931850000</v>
      </c>
      <c r="C65" s="1">
        <v>1141022000</v>
      </c>
      <c r="D65" s="1">
        <v>196004000</v>
      </c>
      <c r="E65" s="1">
        <v>203560000</v>
      </c>
      <c r="F65" s="1">
        <v>235820000</v>
      </c>
    </row>
    <row r="66" spans="1:6" ht="19" x14ac:dyDescent="0.25">
      <c r="A66" s="5" t="s">
        <v>57</v>
      </c>
      <c r="B66" s="1" t="s">
        <v>92</v>
      </c>
      <c r="C66" s="1" t="s">
        <v>92</v>
      </c>
      <c r="D66" s="1" t="s">
        <v>92</v>
      </c>
      <c r="E66" s="1" t="s">
        <v>92</v>
      </c>
      <c r="F66" s="1" t="s">
        <v>92</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92</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92</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92</v>
      </c>
      <c r="C78" s="1" t="s">
        <v>92</v>
      </c>
      <c r="D78" s="1" t="s">
        <v>92</v>
      </c>
      <c r="E78" s="1" t="s">
        <v>92</v>
      </c>
      <c r="F78" s="1">
        <v>-26425000</v>
      </c>
    </row>
    <row r="79" spans="1:6" ht="19" x14ac:dyDescent="0.25">
      <c r="A79" s="5" t="s">
        <v>68</v>
      </c>
      <c r="B79" s="1">
        <v>22409000</v>
      </c>
      <c r="C79" s="1">
        <v>78399000</v>
      </c>
      <c r="D79" s="1">
        <v>301441000</v>
      </c>
      <c r="E79" s="1">
        <v>605095000</v>
      </c>
      <c r="F79" s="1">
        <v>861533000</v>
      </c>
    </row>
    <row r="80" spans="1:6" ht="19" x14ac:dyDescent="0.25">
      <c r="A80" s="14" t="s">
        <v>104</v>
      </c>
      <c r="B80" s="15">
        <f t="shared" ref="B80:F80" si="6">B79/B3</f>
        <v>0.23181884012993192</v>
      </c>
      <c r="C80" s="15">
        <f t="shared" si="6"/>
        <v>0.29612688292262829</v>
      </c>
      <c r="D80" s="15">
        <f t="shared" si="6"/>
        <v>0.50914873599989185</v>
      </c>
      <c r="E80" s="15">
        <f t="shared" si="6"/>
        <v>0.49625326102021855</v>
      </c>
      <c r="F80" s="15">
        <f t="shared" si="6"/>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21" x14ac:dyDescent="0.25">
      <c r="A83" s="5" t="s">
        <v>34</v>
      </c>
      <c r="B83" s="1" t="s">
        <v>92</v>
      </c>
      <c r="C83" s="1" t="s">
        <v>92</v>
      </c>
      <c r="D83" s="1" t="s">
        <v>92</v>
      </c>
      <c r="E83" s="1" t="s">
        <v>92</v>
      </c>
      <c r="F83" s="1" t="s">
        <v>92</v>
      </c>
      <c r="M83" s="62" t="s">
        <v>125</v>
      </c>
      <c r="N83" s="63"/>
    </row>
    <row r="84" spans="1:14" ht="19" x14ac:dyDescent="0.25">
      <c r="A84" s="5" t="s">
        <v>47</v>
      </c>
      <c r="B84" s="1">
        <v>5170000</v>
      </c>
      <c r="C84" s="1">
        <v>1116000</v>
      </c>
      <c r="D84" s="1">
        <v>-2878000</v>
      </c>
      <c r="E84" s="1">
        <v>7371000</v>
      </c>
      <c r="F84" s="1">
        <v>8024000</v>
      </c>
      <c r="M84" s="64" t="s">
        <v>126</v>
      </c>
      <c r="N84" s="65"/>
    </row>
    <row r="85" spans="1:14" ht="20" x14ac:dyDescent="0.25">
      <c r="A85" s="5" t="s">
        <v>71</v>
      </c>
      <c r="B85" s="1">
        <v>43287000</v>
      </c>
      <c r="C85" s="1">
        <v>154366000</v>
      </c>
      <c r="D85" s="1">
        <v>261437000</v>
      </c>
      <c r="E85" s="1">
        <v>430344000</v>
      </c>
      <c r="F85" s="1" t="s">
        <v>92</v>
      </c>
      <c r="M85" s="24" t="s">
        <v>127</v>
      </c>
      <c r="N85" s="25">
        <f>F17</f>
        <v>73839000</v>
      </c>
    </row>
    <row r="86" spans="1:14" ht="20" x14ac:dyDescent="0.25">
      <c r="A86" s="5" t="s">
        <v>72</v>
      </c>
      <c r="B86" s="1">
        <v>4056000</v>
      </c>
      <c r="C86" s="1">
        <v>40715000</v>
      </c>
      <c r="D86" s="1">
        <v>75526000</v>
      </c>
      <c r="E86" s="1">
        <v>95107000</v>
      </c>
      <c r="F86" s="1" t="s">
        <v>92</v>
      </c>
      <c r="M86" s="24" t="s">
        <v>128</v>
      </c>
      <c r="N86" s="25">
        <f>F56</f>
        <v>27301000</v>
      </c>
    </row>
    <row r="87" spans="1:14" ht="20" x14ac:dyDescent="0.25">
      <c r="A87" s="6" t="s">
        <v>73</v>
      </c>
      <c r="B87" s="10">
        <v>-143982000</v>
      </c>
      <c r="C87" s="10">
        <v>-176558000</v>
      </c>
      <c r="D87" s="10">
        <v>-45417000</v>
      </c>
      <c r="E87" s="10">
        <v>110179000</v>
      </c>
      <c r="F87" s="10">
        <v>545639000</v>
      </c>
      <c r="M87" s="24" t="s">
        <v>129</v>
      </c>
      <c r="N87" s="25">
        <f>F61</f>
        <v>224357000</v>
      </c>
    </row>
    <row r="88" spans="1:14" ht="20" x14ac:dyDescent="0.25">
      <c r="A88" s="5" t="s">
        <v>74</v>
      </c>
      <c r="B88" s="1">
        <v>-4016000</v>
      </c>
      <c r="C88" s="1">
        <v>-22848000</v>
      </c>
      <c r="D88" s="1">
        <v>-35037000</v>
      </c>
      <c r="E88" s="1">
        <v>-16221000</v>
      </c>
      <c r="F88" s="1">
        <v>-25128000</v>
      </c>
      <c r="M88" s="34" t="s">
        <v>130</v>
      </c>
      <c r="N88" s="35">
        <f>N85/(N86+N87)</f>
        <v>0.29341010418901842</v>
      </c>
    </row>
    <row r="89" spans="1:14" ht="20" customHeight="1" x14ac:dyDescent="0.25">
      <c r="A89" s="14" t="s">
        <v>105</v>
      </c>
      <c r="B89" s="15">
        <f t="shared" ref="B89:F89" si="7">(-1*B88)/B3</f>
        <v>4.1545114104235205E-2</v>
      </c>
      <c r="C89" s="15">
        <f t="shared" si="7"/>
        <v>8.6300935228972461E-2</v>
      </c>
      <c r="D89" s="15">
        <f t="shared" si="7"/>
        <v>5.9179223341311274E-2</v>
      </c>
      <c r="E89" s="15">
        <f t="shared" si="7"/>
        <v>1.3303240230061337E-2</v>
      </c>
      <c r="F89" s="15">
        <f t="shared" si="7"/>
        <v>1.2164640920887716E-2</v>
      </c>
      <c r="M89" s="24" t="s">
        <v>106</v>
      </c>
      <c r="N89" s="25">
        <f>F27</f>
        <v>18467000</v>
      </c>
    </row>
    <row r="90" spans="1:14" ht="20" x14ac:dyDescent="0.25">
      <c r="A90" s="5" t="s">
        <v>75</v>
      </c>
      <c r="B90" s="1" t="s">
        <v>92</v>
      </c>
      <c r="C90" s="1" t="s">
        <v>92</v>
      </c>
      <c r="D90" s="1">
        <v>-6035000</v>
      </c>
      <c r="E90" s="1" t="s">
        <v>92</v>
      </c>
      <c r="F90" s="1">
        <v>-362609000</v>
      </c>
      <c r="M90" s="24" t="s">
        <v>19</v>
      </c>
      <c r="N90" s="25">
        <f>F25</f>
        <v>-815993000</v>
      </c>
    </row>
    <row r="91" spans="1:14" ht="20" x14ac:dyDescent="0.25">
      <c r="A91" s="5" t="s">
        <v>76</v>
      </c>
      <c r="B91" s="1">
        <v>-738383000</v>
      </c>
      <c r="C91" s="1">
        <v>-622854000</v>
      </c>
      <c r="D91" s="1">
        <v>-4859852000</v>
      </c>
      <c r="E91" s="1">
        <v>-4250338000</v>
      </c>
      <c r="F91" s="1">
        <v>-3854886000</v>
      </c>
      <c r="M91" s="34" t="s">
        <v>131</v>
      </c>
      <c r="N91" s="35">
        <f>N89/N90</f>
        <v>-2.263132159221954E-2</v>
      </c>
    </row>
    <row r="92" spans="1:14" ht="20" x14ac:dyDescent="0.25">
      <c r="A92" s="5" t="s">
        <v>77</v>
      </c>
      <c r="B92" s="1">
        <v>379757000</v>
      </c>
      <c r="C92" s="1">
        <v>790511000</v>
      </c>
      <c r="D92" s="1">
        <v>877946000</v>
      </c>
      <c r="E92" s="1">
        <v>4282865000</v>
      </c>
      <c r="F92" s="1">
        <v>3715885000</v>
      </c>
      <c r="M92" s="36" t="s">
        <v>132</v>
      </c>
      <c r="N92" s="37">
        <f>N88*(1-N91)</f>
        <v>0.30005036261532675</v>
      </c>
    </row>
    <row r="93" spans="1:14" ht="19" x14ac:dyDescent="0.25">
      <c r="A93" s="5" t="s">
        <v>78</v>
      </c>
      <c r="B93" s="1" t="s">
        <v>92</v>
      </c>
      <c r="C93" s="1">
        <v>-6314000</v>
      </c>
      <c r="D93" s="1">
        <v>-13667000</v>
      </c>
      <c r="E93" s="1">
        <v>-37106000</v>
      </c>
      <c r="F93" s="1">
        <v>-71147000</v>
      </c>
      <c r="M93" s="64" t="s">
        <v>133</v>
      </c>
      <c r="N93" s="65"/>
    </row>
    <row r="94" spans="1:14" ht="20" x14ac:dyDescent="0.25">
      <c r="A94" s="6" t="s">
        <v>79</v>
      </c>
      <c r="B94" s="10">
        <v>-362642000</v>
      </c>
      <c r="C94" s="10">
        <v>138495000</v>
      </c>
      <c r="D94" s="10">
        <v>-4036645000</v>
      </c>
      <c r="E94" s="10">
        <v>-20800000</v>
      </c>
      <c r="F94" s="10">
        <v>-597885000</v>
      </c>
      <c r="M94" s="24" t="s">
        <v>134</v>
      </c>
      <c r="N94" s="38">
        <v>4.095E-2</v>
      </c>
    </row>
    <row r="95" spans="1:14" ht="20" x14ac:dyDescent="0.25">
      <c r="A95" s="5" t="s">
        <v>80</v>
      </c>
      <c r="B95" s="1" t="s">
        <v>92</v>
      </c>
      <c r="C95" s="1" t="s">
        <v>92</v>
      </c>
      <c r="D95" s="1" t="s">
        <v>92</v>
      </c>
      <c r="E95" s="1" t="s">
        <v>92</v>
      </c>
      <c r="F95" s="1" t="s">
        <v>92</v>
      </c>
      <c r="M95" s="24" t="s">
        <v>135</v>
      </c>
      <c r="N95" s="58" cm="1">
        <f t="array" ref="N95">_FV(A1,"Beta")</f>
        <v>1.583</v>
      </c>
    </row>
    <row r="96" spans="1:14" ht="20" x14ac:dyDescent="0.25">
      <c r="A96" s="5" t="s">
        <v>81</v>
      </c>
      <c r="B96" s="1" t="s">
        <v>92</v>
      </c>
      <c r="C96" s="1" t="s">
        <v>92</v>
      </c>
      <c r="D96" s="1">
        <v>4242284000</v>
      </c>
      <c r="E96" s="1" t="s">
        <v>92</v>
      </c>
      <c r="F96" s="1" t="s">
        <v>92</v>
      </c>
      <c r="M96" s="24" t="s">
        <v>136</v>
      </c>
      <c r="N96" s="38">
        <v>8.4000000000000005E-2</v>
      </c>
    </row>
    <row r="97" spans="1:14" ht="20" x14ac:dyDescent="0.25">
      <c r="A97" s="5" t="s">
        <v>82</v>
      </c>
      <c r="B97" s="1">
        <v>-29644000</v>
      </c>
      <c r="C97" s="1" t="s">
        <v>92</v>
      </c>
      <c r="D97" s="1" t="s">
        <v>92</v>
      </c>
      <c r="E97" s="1" t="s">
        <v>92</v>
      </c>
      <c r="F97" s="1" t="s">
        <v>92</v>
      </c>
      <c r="M97" s="36" t="s">
        <v>137</v>
      </c>
      <c r="N97" s="37">
        <f>(N94)+((N95)*(N96-N94))</f>
        <v>0.10909815</v>
      </c>
    </row>
    <row r="98" spans="1:14" ht="19" x14ac:dyDescent="0.25">
      <c r="A98" s="5" t="s">
        <v>83</v>
      </c>
      <c r="B98" s="1" t="s">
        <v>92</v>
      </c>
      <c r="C98" s="1" t="s">
        <v>92</v>
      </c>
      <c r="D98" s="1" t="s">
        <v>92</v>
      </c>
      <c r="E98" s="1" t="s">
        <v>92</v>
      </c>
      <c r="F98" s="1" t="s">
        <v>92</v>
      </c>
      <c r="M98" s="64" t="s">
        <v>138</v>
      </c>
      <c r="N98" s="65"/>
    </row>
    <row r="99" spans="1:14" ht="20" x14ac:dyDescent="0.25">
      <c r="A99" s="5" t="s">
        <v>84</v>
      </c>
      <c r="B99" s="1">
        <v>443245000</v>
      </c>
      <c r="C99" s="1">
        <v>57469000</v>
      </c>
      <c r="D99" s="1">
        <v>533006000</v>
      </c>
      <c r="E99" s="1">
        <v>178198000</v>
      </c>
      <c r="F99" s="1">
        <v>-92624000</v>
      </c>
      <c r="M99" s="24" t="s">
        <v>139</v>
      </c>
      <c r="N99" s="25">
        <f>N86+N87</f>
        <v>251658000</v>
      </c>
    </row>
    <row r="100" spans="1:14" ht="20" x14ac:dyDescent="0.25">
      <c r="A100" s="6" t="s">
        <v>85</v>
      </c>
      <c r="B100" s="10">
        <v>413601000</v>
      </c>
      <c r="C100" s="10">
        <v>57469000</v>
      </c>
      <c r="D100" s="10">
        <v>4775290000</v>
      </c>
      <c r="E100" s="10">
        <v>178198000</v>
      </c>
      <c r="F100" s="10">
        <v>-92624000</v>
      </c>
      <c r="M100" s="34" t="s">
        <v>140</v>
      </c>
      <c r="N100" s="35">
        <f>N99/N103</f>
        <v>5.3049419365000612E-3</v>
      </c>
    </row>
    <row r="101" spans="1:14" ht="20" x14ac:dyDescent="0.25">
      <c r="A101" s="5" t="s">
        <v>86</v>
      </c>
      <c r="B101" s="1" t="s">
        <v>92</v>
      </c>
      <c r="C101" s="1" t="s">
        <v>92</v>
      </c>
      <c r="D101" s="1">
        <v>-11000</v>
      </c>
      <c r="E101" s="1">
        <v>-236000</v>
      </c>
      <c r="F101" s="1">
        <v>-933000</v>
      </c>
      <c r="M101" s="24" t="s">
        <v>141</v>
      </c>
      <c r="N101" s="39" cm="1">
        <f t="array" ref="N101">_FV(A1,"Market cap",TRUE)</f>
        <v>47186750000</v>
      </c>
    </row>
    <row r="102" spans="1:14" ht="20" x14ac:dyDescent="0.25">
      <c r="A102" s="6" t="s">
        <v>87</v>
      </c>
      <c r="B102" s="10">
        <v>-93023000</v>
      </c>
      <c r="C102" s="10">
        <v>19406000</v>
      </c>
      <c r="D102" s="10">
        <v>693217000</v>
      </c>
      <c r="E102" s="10">
        <v>267341000</v>
      </c>
      <c r="F102" s="10">
        <v>-145803000</v>
      </c>
      <c r="M102" s="34" t="s">
        <v>142</v>
      </c>
      <c r="N102" s="35">
        <f>N101/N103</f>
        <v>0.99469505806349989</v>
      </c>
    </row>
    <row r="103" spans="1:14" ht="20" x14ac:dyDescent="0.25">
      <c r="A103" s="5" t="s">
        <v>88</v>
      </c>
      <c r="B103" s="1">
        <v>215593000</v>
      </c>
      <c r="C103" s="1">
        <v>122570000</v>
      </c>
      <c r="D103" s="1">
        <v>141976000</v>
      </c>
      <c r="E103" s="1">
        <v>835193000</v>
      </c>
      <c r="F103" s="1">
        <v>1102534000</v>
      </c>
      <c r="M103" s="36" t="s">
        <v>143</v>
      </c>
      <c r="N103" s="40">
        <f>N99+N101</f>
        <v>47438408000</v>
      </c>
    </row>
    <row r="104" spans="1:14" ht="19" x14ac:dyDescent="0.25">
      <c r="A104" s="7" t="s">
        <v>89</v>
      </c>
      <c r="B104" s="11">
        <v>122570000</v>
      </c>
      <c r="C104" s="11">
        <v>141976000</v>
      </c>
      <c r="D104" s="11">
        <v>835193000</v>
      </c>
      <c r="E104" s="11">
        <v>1102534000</v>
      </c>
      <c r="F104" s="11">
        <v>956731000</v>
      </c>
      <c r="M104" s="64" t="s">
        <v>144</v>
      </c>
      <c r="N104" s="65"/>
    </row>
    <row r="105" spans="1:14" ht="20" x14ac:dyDescent="0.25">
      <c r="A105" s="14" t="s">
        <v>107</v>
      </c>
      <c r="B105" s="1"/>
      <c r="C105" s="15">
        <f>(C106/B106)-1</f>
        <v>0.34735604535196418</v>
      </c>
      <c r="D105" s="15">
        <f>(D106/C106)-1</f>
        <v>-0.5279931396246853</v>
      </c>
      <c r="E105" s="15">
        <f>(E106/D106)-1</f>
        <v>-1.6040309813962876</v>
      </c>
      <c r="F105" s="15">
        <f>(F106/E106)-1</f>
        <v>7.7331844086399784</v>
      </c>
      <c r="G105" s="15"/>
      <c r="H105" s="15"/>
      <c r="I105" s="15"/>
      <c r="J105" s="15"/>
      <c r="K105" s="15"/>
      <c r="L105" s="15"/>
      <c r="M105" s="26" t="s">
        <v>108</v>
      </c>
      <c r="N105" s="27">
        <f>(N100*N92)+(N102*N97)</f>
        <v>0.11011114040057052</v>
      </c>
    </row>
    <row r="106" spans="1:14" ht="19" x14ac:dyDescent="0.25">
      <c r="A106" s="5" t="s">
        <v>90</v>
      </c>
      <c r="B106" s="1">
        <v>-147998000</v>
      </c>
      <c r="C106" s="1">
        <v>-199406000</v>
      </c>
      <c r="D106" s="1">
        <v>-94121000</v>
      </c>
      <c r="E106" s="1">
        <v>56852000</v>
      </c>
      <c r="F106" s="1">
        <v>496499000</v>
      </c>
      <c r="G106" s="56">
        <f>F106*(1+$N$106)</f>
        <v>676882897.20404243</v>
      </c>
      <c r="H106" s="56">
        <f t="shared" ref="H106:K106" si="8">G106*(1+$N$106)</f>
        <v>922802375.28643203</v>
      </c>
      <c r="I106" s="56">
        <f t="shared" si="8"/>
        <v>1258067277.7400401</v>
      </c>
      <c r="J106" s="56">
        <f t="shared" si="8"/>
        <v>1715137842.8441567</v>
      </c>
      <c r="K106" s="56">
        <f t="shared" si="8"/>
        <v>2338267493.3255544</v>
      </c>
      <c r="L106" s="41" t="s">
        <v>145</v>
      </c>
      <c r="M106" s="42" t="s">
        <v>146</v>
      </c>
      <c r="N106" s="43">
        <f>(SUM(G4:K4)/5)</f>
        <v>0.36331170295215576</v>
      </c>
    </row>
    <row r="107" spans="1:14" ht="19" x14ac:dyDescent="0.25">
      <c r="A107" s="5"/>
      <c r="B107" s="13"/>
      <c r="C107" s="13"/>
      <c r="D107" s="13"/>
      <c r="E107" s="13"/>
      <c r="F107" s="13"/>
      <c r="G107" s="41"/>
      <c r="H107" s="41"/>
      <c r="I107" s="41"/>
      <c r="J107" s="41"/>
      <c r="K107" s="44">
        <f>K106*(1+N107)/(N108-N107)</f>
        <v>28159934990.63287</v>
      </c>
      <c r="L107" s="45" t="s">
        <v>147</v>
      </c>
      <c r="M107" s="46" t="s">
        <v>148</v>
      </c>
      <c r="N107" s="47">
        <v>2.5000000000000001E-2</v>
      </c>
    </row>
    <row r="108" spans="1:14" ht="19" x14ac:dyDescent="0.25">
      <c r="G108" s="44">
        <f t="shared" ref="G108:I108" si="9">G107+G106</f>
        <v>676882897.20404243</v>
      </c>
      <c r="H108" s="44">
        <f t="shared" si="9"/>
        <v>922802375.28643203</v>
      </c>
      <c r="I108" s="44">
        <f t="shared" si="9"/>
        <v>1258067277.7400401</v>
      </c>
      <c r="J108" s="44">
        <f>J107+J106</f>
        <v>1715137842.8441567</v>
      </c>
      <c r="K108" s="44">
        <f>K107+K106</f>
        <v>30498202483.958424</v>
      </c>
      <c r="L108" s="45" t="s">
        <v>143</v>
      </c>
      <c r="M108" s="48" t="s">
        <v>149</v>
      </c>
      <c r="N108" s="49">
        <f>N105</f>
        <v>0.11011114040057052</v>
      </c>
    </row>
    <row r="109" spans="1:14" ht="19" x14ac:dyDescent="0.25">
      <c r="G109" s="60" t="s">
        <v>150</v>
      </c>
      <c r="H109" s="61"/>
    </row>
    <row r="110" spans="1:14" ht="20" x14ac:dyDescent="0.25">
      <c r="G110" s="50" t="s">
        <v>151</v>
      </c>
      <c r="H110" s="39">
        <f>NPV(N108,G108,H108,I108,J108,K108)</f>
        <v>21497674680.285358</v>
      </c>
    </row>
    <row r="111" spans="1:14" ht="20" x14ac:dyDescent="0.25">
      <c r="G111" s="50" t="s">
        <v>152</v>
      </c>
      <c r="H111" s="39">
        <f>F40</f>
        <v>4007868000</v>
      </c>
    </row>
    <row r="112" spans="1:14" ht="20" x14ac:dyDescent="0.25">
      <c r="G112" s="50" t="s">
        <v>139</v>
      </c>
      <c r="H112" s="39">
        <f>N99</f>
        <v>251658000</v>
      </c>
    </row>
    <row r="113" spans="7:8" ht="20" x14ac:dyDescent="0.25">
      <c r="G113" s="50" t="s">
        <v>153</v>
      </c>
      <c r="H113" s="39">
        <f>H110+H111-H112</f>
        <v>25253884680.285358</v>
      </c>
    </row>
    <row r="114" spans="7:8" ht="20" x14ac:dyDescent="0.25">
      <c r="G114" s="50" t="s">
        <v>159</v>
      </c>
      <c r="H114" s="51" cm="1">
        <f t="array" ref="H114">_FV(A1,"Shares outstanding",TRUE)</f>
        <v>325000000</v>
      </c>
    </row>
    <row r="115" spans="7:8" ht="20" x14ac:dyDescent="0.25">
      <c r="G115" s="52" t="s">
        <v>154</v>
      </c>
      <c r="H115" s="59">
        <f>H113/H114</f>
        <v>77.704260554724186</v>
      </c>
    </row>
    <row r="116" spans="7:8" ht="20" x14ac:dyDescent="0.25">
      <c r="G116" s="50" t="s">
        <v>155</v>
      </c>
      <c r="H116" s="57" cm="1">
        <f t="array" ref="H116">_FV(A1,"Price")</f>
        <v>145.19</v>
      </c>
    </row>
    <row r="117" spans="7:8" ht="20" x14ac:dyDescent="0.25">
      <c r="G117" s="53" t="s">
        <v>156</v>
      </c>
      <c r="H117" s="54">
        <f>H115/H116-1</f>
        <v>-0.46480983156743449</v>
      </c>
    </row>
    <row r="118" spans="7:8" ht="20" x14ac:dyDescent="0.25">
      <c r="G118" s="53" t="s">
        <v>157</v>
      </c>
      <c r="H118" s="55" t="str">
        <f>IF(H115&gt;H116,"BUY","SELL")</f>
        <v>SELL</v>
      </c>
    </row>
  </sheetData>
  <mergeCells count="6">
    <mergeCell ref="G109:H109"/>
    <mergeCell ref="M83:N83"/>
    <mergeCell ref="M84:N84"/>
    <mergeCell ref="M93:N93"/>
    <mergeCell ref="M98:N98"/>
    <mergeCell ref="M104:N10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2023-03-13T17:51:05Z</dcterms:created>
  <dcterms:modified xsi:type="dcterms:W3CDTF">2023-04-23T07:27:50Z</dcterms:modified>
</cp:coreProperties>
</file>