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1CF0F40-8358-1744-A837-7F7ACC04242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6" i="1" l="1" a="1"/>
  <c r="L116" i="1" s="1"/>
  <c r="R101" i="1" a="1"/>
  <c r="R101" i="1" s="1"/>
  <c r="R95" i="1" a="1"/>
  <c r="R95" i="1" s="1"/>
  <c r="R97" i="1" s="1"/>
  <c r="I105" i="1"/>
  <c r="J105" i="1"/>
  <c r="J89" i="1"/>
  <c r="J80" i="1"/>
  <c r="J35" i="1"/>
  <c r="J29" i="1"/>
  <c r="J20" i="1"/>
  <c r="J13" i="1"/>
  <c r="J9" i="1"/>
  <c r="P16" i="1"/>
  <c r="L114" i="1"/>
  <c r="K4" i="1"/>
  <c r="L4" i="1"/>
  <c r="M4" i="1"/>
  <c r="N4" i="1"/>
  <c r="O4" i="1"/>
  <c r="R106" i="1"/>
  <c r="K106" i="1"/>
  <c r="L106" i="1"/>
  <c r="M106" i="1"/>
  <c r="N106" i="1"/>
  <c r="O106" i="1"/>
  <c r="R86" i="1"/>
  <c r="R87" i="1"/>
  <c r="R99" i="1"/>
  <c r="R85" i="1"/>
  <c r="R88" i="1"/>
  <c r="R89" i="1"/>
  <c r="R90" i="1"/>
  <c r="R91" i="1"/>
  <c r="R92" i="1"/>
  <c r="K108" i="1"/>
  <c r="L108" i="1"/>
  <c r="M108" i="1"/>
  <c r="N108" i="1"/>
  <c r="L111" i="1"/>
  <c r="L112" i="1"/>
  <c r="P19" i="1"/>
  <c r="S13" i="1"/>
  <c r="R13" i="1"/>
  <c r="Q13" i="1"/>
  <c r="P13" i="1"/>
  <c r="S10" i="1"/>
  <c r="R10" i="1"/>
  <c r="Q10" i="1"/>
  <c r="P10" i="1"/>
  <c r="S7" i="1"/>
  <c r="R7" i="1"/>
  <c r="Q7" i="1"/>
  <c r="P7" i="1"/>
  <c r="S4" i="1"/>
  <c r="R4" i="1"/>
  <c r="Q4" i="1"/>
  <c r="P4"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S16" i="1" l="1"/>
  <c r="Q16" i="1"/>
  <c r="R16" i="1"/>
  <c r="R103" i="1"/>
  <c r="R102" i="1" l="1"/>
  <c r="R100" i="1"/>
  <c r="R105" i="1" s="1"/>
  <c r="R108" i="1" s="1"/>
  <c r="O107" i="1" s="1"/>
  <c r="O108" i="1" s="1"/>
  <c r="L110" i="1" s="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<sst xmlns="http://schemas.openxmlformats.org/spreadsheetml/2006/main" count="398" uniqueCount="160">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</sst>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TTD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76.75</v>
    <v>39</v>
    <v>1.7881</v>
    <v>-0.03</v>
    <v>-4.8220000000000001E-4</v>
    <v>0.11</v>
    <v>1.769E-3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62.84</v>
    <v>Software &amp; IT Services</v>
    <v>Stock</v>
    <v>45037.995722638283</v>
    <v>0</v>
    <v>61.74</v>
    <v>30353460000</v>
    <v>THE TRADE DESK, INC.</v>
    <v>THE TRADE DESK, INC.</v>
    <v>62.21</v>
    <v>661.63329999999996</v>
    <v>62.22</v>
    <v>62.19</v>
    <v>62.3</v>
    <v>488076200</v>
    <v>TTD</v>
    <v>THE TRADE DESK, INC. (XNAS:TTD)</v>
    <v>2106307</v>
    <v>2822930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82" activePane="bottomRight" state="frozen"/>
      <selection pane="topRight"/>
      <selection pane="bottomLeft"/>
      <selection pane="bottomRight" activeCell="L99" sqref="L99"/>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9">
        <v>1896000000</v>
      </c>
      <c r="L3" s="29">
        <v>2365000000</v>
      </c>
      <c r="M3" s="29">
        <v>3000000000</v>
      </c>
      <c r="N3" s="29">
        <v>3662000000</v>
      </c>
      <c r="O3" s="29">
        <v>4401000000</v>
      </c>
      <c r="P3" s="19" t="s">
        <v>109</v>
      </c>
      <c r="Q3" s="20" t="s">
        <v>110</v>
      </c>
      <c r="R3" s="20" t="s">
        <v>111</v>
      </c>
      <c r="S3" s="20" t="s">
        <v>112</v>
      </c>
    </row>
    <row r="4" spans="1:38" ht="19" x14ac:dyDescent="0.25">
      <c r="A4" s="14" t="s">
        <v>94</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0.20167702394797793</v>
      </c>
      <c r="L4" s="16">
        <f t="shared" si="0"/>
        <v>0.2473628691983123</v>
      </c>
      <c r="M4" s="16">
        <f t="shared" si="0"/>
        <v>0.2684989429175475</v>
      </c>
      <c r="N4" s="16">
        <f t="shared" si="0"/>
        <v>0.22066666666666657</v>
      </c>
      <c r="O4" s="16">
        <f t="shared" si="0"/>
        <v>0.20180229382850912</v>
      </c>
      <c r="P4" s="17">
        <f>(J4+I4+H4)/3</f>
        <v>0.33817504507708923</v>
      </c>
      <c r="Q4" s="17">
        <f>(J20+I20+H20)/3</f>
        <v>0.12925738752039559</v>
      </c>
      <c r="R4" s="17">
        <f>(J29+I29+H29)/3</f>
        <v>6.4374947262163681E-2</v>
      </c>
      <c r="S4" s="17">
        <f>(J105+I105+H105)/3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113</v>
      </c>
      <c r="Q6" s="20" t="s">
        <v>114</v>
      </c>
      <c r="R6" s="20" t="s">
        <v>115</v>
      </c>
      <c r="S6" s="20" t="s">
        <v>116</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J106/J3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95</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96</v>
      </c>
      <c r="Q9" s="20" t="s">
        <v>97</v>
      </c>
      <c r="R9" s="20" t="s">
        <v>98</v>
      </c>
      <c r="S9" s="20" t="s">
        <v>99</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117</v>
      </c>
      <c r="Q12" s="20" t="s">
        <v>118</v>
      </c>
      <c r="R12" s="20" t="s">
        <v>119</v>
      </c>
      <c r="S12" s="20" t="s">
        <v>120</v>
      </c>
    </row>
    <row r="13" spans="1:38" ht="19" x14ac:dyDescent="0.25">
      <c r="A13" s="14" t="s">
        <v>100</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92</v>
      </c>
      <c r="C14" s="1" t="s">
        <v>92</v>
      </c>
      <c r="D14" s="1" t="s">
        <v>92</v>
      </c>
      <c r="E14" s="1" t="s">
        <v>92</v>
      </c>
      <c r="F14" s="1" t="s">
        <v>92</v>
      </c>
      <c r="G14" s="1" t="s">
        <v>92</v>
      </c>
      <c r="H14" s="1" t="s">
        <v>92</v>
      </c>
      <c r="I14" s="1" t="s">
        <v>92</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159</v>
      </c>
      <c r="Q15" s="20" t="s">
        <v>121</v>
      </c>
      <c r="R15" s="20" t="s">
        <v>122</v>
      </c>
      <c r="S15" s="20" t="s">
        <v>123</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30">
        <f>(J35+I35+H35+G35+F35)/5</f>
        <v>2.5723145599132812E-2</v>
      </c>
      <c r="Q16" s="31">
        <f>R101/J3</f>
        <v>19.237898459559069</v>
      </c>
      <c r="R16" s="31">
        <f>R101/J28</f>
        <v>568.5765664512503</v>
      </c>
      <c r="S16" s="32">
        <f>R101/J106</f>
        <v>66.44090279282652</v>
      </c>
    </row>
    <row r="17" spans="1:16" ht="19" x14ac:dyDescent="0.25">
      <c r="A17" s="5" t="s">
        <v>12</v>
      </c>
      <c r="B17" s="1">
        <v>843000</v>
      </c>
      <c r="C17" s="1">
        <v>1141000</v>
      </c>
      <c r="D17" s="1">
        <v>3075000</v>
      </c>
      <c r="E17" s="1">
        <v>1791000</v>
      </c>
      <c r="F17" s="1">
        <v>1550000</v>
      </c>
      <c r="G17" s="1" t="s">
        <v>92</v>
      </c>
      <c r="H17" s="1" t="s">
        <v>92</v>
      </c>
      <c r="I17" s="1" t="s">
        <v>92</v>
      </c>
      <c r="J17" s="1">
        <v>12755000</v>
      </c>
    </row>
    <row r="18" spans="1:16" ht="20" x14ac:dyDescent="0.25">
      <c r="A18" s="5" t="s">
        <v>13</v>
      </c>
      <c r="B18" s="1">
        <v>680000</v>
      </c>
      <c r="C18" s="1">
        <v>1828000</v>
      </c>
      <c r="D18" s="1">
        <v>3798000</v>
      </c>
      <c r="E18" s="1">
        <v>7209000</v>
      </c>
      <c r="F18" s="1">
        <v>11822000</v>
      </c>
      <c r="G18" s="1">
        <v>21662000</v>
      </c>
      <c r="H18" s="1">
        <v>28632000</v>
      </c>
      <c r="I18" s="1">
        <v>42219000</v>
      </c>
      <c r="J18" s="1">
        <v>54425000</v>
      </c>
      <c r="P18" s="19" t="s">
        <v>124</v>
      </c>
    </row>
    <row r="19" spans="1:16" ht="19" x14ac:dyDescent="0.25">
      <c r="A19" s="6" t="s">
        <v>14</v>
      </c>
      <c r="B19" s="10">
        <v>580000</v>
      </c>
      <c r="C19" s="10">
        <v>32824000</v>
      </c>
      <c r="D19" s="10">
        <v>50707000</v>
      </c>
      <c r="E19" s="10">
        <v>72625000</v>
      </c>
      <c r="F19" s="10">
        <v>119109000</v>
      </c>
      <c r="G19" s="10">
        <v>137882000</v>
      </c>
      <c r="H19" s="10">
        <v>172535000</v>
      </c>
      <c r="I19" s="10">
        <v>164255000</v>
      </c>
      <c r="J19" s="10">
        <v>194550000</v>
      </c>
      <c r="P19" s="33">
        <f>J40-J56-J61</f>
        <v>1185629000</v>
      </c>
    </row>
    <row r="20" spans="1:16" ht="19" customHeight="1" x14ac:dyDescent="0.25">
      <c r="A20" s="14" t="s">
        <v>101</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5"/>
    </row>
    <row r="21" spans="1:16" ht="19"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row>
    <row r="22" spans="1:16" ht="19" x14ac:dyDescent="0.25">
      <c r="A22" s="6" t="s">
        <v>16</v>
      </c>
      <c r="B22" s="10">
        <v>764000</v>
      </c>
      <c r="C22" s="10">
        <v>37980000</v>
      </c>
      <c r="D22" s="10">
        <v>57518000</v>
      </c>
      <c r="E22" s="10">
        <v>69356000</v>
      </c>
      <c r="F22" s="10">
        <v>107323000</v>
      </c>
      <c r="G22" s="10">
        <v>112196000</v>
      </c>
      <c r="H22" s="10">
        <v>144208000</v>
      </c>
      <c r="I22" s="10">
        <v>124817000</v>
      </c>
      <c r="J22" s="10">
        <v>113654000</v>
      </c>
    </row>
    <row r="23" spans="1:16"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6" ht="19" x14ac:dyDescent="0.25">
      <c r="A24" s="5" t="s">
        <v>18</v>
      </c>
      <c r="B24" s="1">
        <v>-1707000</v>
      </c>
      <c r="C24" s="1">
        <v>-8125000</v>
      </c>
      <c r="D24" s="1">
        <v>-13684000</v>
      </c>
      <c r="E24" s="1">
        <v>-5731000</v>
      </c>
      <c r="F24" s="1">
        <v>-1586000</v>
      </c>
      <c r="G24" s="1">
        <v>4024000</v>
      </c>
      <c r="H24" s="1">
        <v>-305000</v>
      </c>
      <c r="I24" s="1">
        <v>-2781000</v>
      </c>
      <c r="J24" s="1">
        <v>13716000</v>
      </c>
    </row>
    <row r="25" spans="1:16"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6"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6" ht="19" x14ac:dyDescent="0.25">
      <c r="A27" s="5" t="s">
        <v>21</v>
      </c>
      <c r="B27" s="1">
        <v>-948000</v>
      </c>
      <c r="C27" s="1">
        <v>13926000</v>
      </c>
      <c r="D27" s="1">
        <v>23352000</v>
      </c>
      <c r="E27" s="1">
        <v>12827000</v>
      </c>
      <c r="F27" s="1">
        <v>17597000</v>
      </c>
      <c r="G27" s="1">
        <v>7902000</v>
      </c>
      <c r="H27" s="1">
        <v>-98414000</v>
      </c>
      <c r="I27" s="1">
        <v>-15726000</v>
      </c>
      <c r="J27" s="1">
        <v>73985000</v>
      </c>
    </row>
    <row r="28" spans="1:16" ht="19" x14ac:dyDescent="0.25">
      <c r="A28" s="7" t="s">
        <v>22</v>
      </c>
      <c r="B28" s="11">
        <v>5000</v>
      </c>
      <c r="C28" s="11">
        <v>15929000</v>
      </c>
      <c r="D28" s="11">
        <v>20482000</v>
      </c>
      <c r="E28" s="11">
        <v>50798000</v>
      </c>
      <c r="F28" s="11">
        <v>88140000</v>
      </c>
      <c r="G28" s="11">
        <v>108318000</v>
      </c>
      <c r="H28" s="11">
        <v>242317000</v>
      </c>
      <c r="I28" s="11">
        <v>137762000</v>
      </c>
      <c r="J28" s="11">
        <v>53385000</v>
      </c>
    </row>
    <row r="29" spans="1:16" ht="20" customHeight="1" x14ac:dyDescent="0.25">
      <c r="A29" s="14" t="s">
        <v>102</v>
      </c>
      <c r="B29" s="1"/>
      <c r="C29" s="15">
        <f>(C28/B28)-1</f>
        <v>3184.8</v>
      </c>
      <c r="D29" s="15">
        <f>(D28/C28)-1</f>
        <v>0.28583087450561862</v>
      </c>
      <c r="E29" s="15">
        <f>(E28/D28)-1</f>
        <v>1.4801288936627284</v>
      </c>
      <c r="F29" s="15">
        <f t="shared" ref="F29:J29" si="4">(F28/E28)-1</f>
        <v>0.73510768140477967</v>
      </c>
      <c r="G29" s="15">
        <f t="shared" si="4"/>
        <v>0.22893124574540513</v>
      </c>
      <c r="H29" s="15">
        <f t="shared" si="4"/>
        <v>1.2370889418194575</v>
      </c>
      <c r="I29" s="15">
        <f t="shared" si="4"/>
        <v>-0.4314802510760698</v>
      </c>
      <c r="J29" s="15">
        <f t="shared" si="4"/>
        <v>-0.61248384895689667</v>
      </c>
    </row>
    <row r="30" spans="1:16" ht="19" x14ac:dyDescent="0.25">
      <c r="A30" s="5" t="s">
        <v>23</v>
      </c>
      <c r="B30" s="2">
        <v>1E-4</v>
      </c>
      <c r="C30" s="2">
        <v>0.1399</v>
      </c>
      <c r="D30" s="2">
        <v>0.1009</v>
      </c>
      <c r="E30" s="2">
        <v>0.1648</v>
      </c>
      <c r="F30" s="2">
        <v>0.1847</v>
      </c>
      <c r="G30" s="2">
        <v>0.16389999999999999</v>
      </c>
      <c r="H30" s="2">
        <v>0.2898</v>
      </c>
      <c r="I30" s="2">
        <v>0.11509999999999999</v>
      </c>
      <c r="J30" s="2">
        <v>3.3799999999999997E-2</v>
      </c>
    </row>
    <row r="31" spans="1:16" ht="19" x14ac:dyDescent="0.25">
      <c r="A31" s="5" t="s">
        <v>24</v>
      </c>
      <c r="B31" s="12" t="s">
        <v>91</v>
      </c>
      <c r="C31" s="12">
        <v>0.05</v>
      </c>
      <c r="D31" s="12">
        <v>0.11</v>
      </c>
      <c r="E31" s="12">
        <v>0.13</v>
      </c>
      <c r="F31" s="12">
        <v>0.21</v>
      </c>
      <c r="G31" s="12">
        <v>0.24</v>
      </c>
      <c r="H31" s="12">
        <v>0.52</v>
      </c>
      <c r="I31" s="12">
        <v>0.3</v>
      </c>
      <c r="J31" s="12">
        <v>0.11</v>
      </c>
    </row>
    <row r="32" spans="1:16" ht="19" x14ac:dyDescent="0.25">
      <c r="A32" s="5" t="s">
        <v>25</v>
      </c>
      <c r="B32" s="12" t="s">
        <v>91</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103</v>
      </c>
      <c r="B35" s="1"/>
      <c r="C35" s="23">
        <f>(C34-B34)/B34</f>
        <v>-0.26401831619537275</v>
      </c>
      <c r="D35" s="23">
        <f t="shared" ref="D35:J35" si="5">(D34-C34)/C34</f>
        <v>-0.50117338863723193</v>
      </c>
      <c r="E35" s="23">
        <f t="shared" si="5"/>
        <v>1.4100656455142231</v>
      </c>
      <c r="F35" s="23">
        <f t="shared" si="5"/>
        <v>3.9427092790993282E-2</v>
      </c>
      <c r="G35" s="23">
        <f t="shared" si="5"/>
        <v>4.3958683641604615E-2</v>
      </c>
      <c r="H35" s="23">
        <f t="shared" si="5"/>
        <v>2.4724929925114002E-2</v>
      </c>
      <c r="I35" s="23">
        <f t="shared" si="5"/>
        <v>0</v>
      </c>
      <c r="J35" s="23">
        <f t="shared" si="5"/>
        <v>2.0505021637952151E-2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92</v>
      </c>
      <c r="C39" s="1" t="s">
        <v>92</v>
      </c>
      <c r="D39" s="1" t="s">
        <v>92</v>
      </c>
      <c r="E39" s="1" t="s">
        <v>92</v>
      </c>
      <c r="F39" s="1" t="s">
        <v>92</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92</v>
      </c>
      <c r="C42" s="1" t="s">
        <v>92</v>
      </c>
      <c r="D42" s="1" t="s">
        <v>92</v>
      </c>
      <c r="E42" s="1" t="s">
        <v>92</v>
      </c>
      <c r="F42" s="1" t="s">
        <v>92</v>
      </c>
      <c r="G42" s="1" t="s">
        <v>92</v>
      </c>
      <c r="H42" s="1" t="s">
        <v>92</v>
      </c>
      <c r="I42" s="1" t="s">
        <v>92</v>
      </c>
      <c r="J42" s="1" t="s">
        <v>92</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739000</v>
      </c>
      <c r="C47" s="1">
        <v>1691000</v>
      </c>
      <c r="D47" s="1">
        <v>2760000</v>
      </c>
      <c r="E47" s="1">
        <v>4399000</v>
      </c>
      <c r="F47" s="1">
        <v>8101000</v>
      </c>
      <c r="G47" s="1">
        <v>9082000</v>
      </c>
      <c r="H47" s="1">
        <v>11505000</v>
      </c>
      <c r="I47" s="1">
        <v>14334000</v>
      </c>
      <c r="J47" s="1" t="s">
        <v>92</v>
      </c>
    </row>
    <row r="48" spans="1:10" ht="19" x14ac:dyDescent="0.25">
      <c r="A48" s="5" t="s">
        <v>40</v>
      </c>
      <c r="B48" s="1">
        <v>739000</v>
      </c>
      <c r="C48" s="1">
        <v>1691000</v>
      </c>
      <c r="D48" s="1">
        <v>2760000</v>
      </c>
      <c r="E48" s="1">
        <v>4399000</v>
      </c>
      <c r="F48" s="1">
        <v>8101000</v>
      </c>
      <c r="G48" s="1">
        <v>9082000</v>
      </c>
      <c r="H48" s="1">
        <v>11505000</v>
      </c>
      <c r="I48" s="1">
        <v>14334000</v>
      </c>
      <c r="J48" s="1" t="s">
        <v>92</v>
      </c>
    </row>
    <row r="49" spans="1:10" ht="19" x14ac:dyDescent="0.25">
      <c r="A49" s="5" t="s">
        <v>41</v>
      </c>
      <c r="B49" s="1" t="s">
        <v>92</v>
      </c>
      <c r="C49" s="1" t="s">
        <v>92</v>
      </c>
      <c r="D49" s="1" t="s">
        <v>92</v>
      </c>
      <c r="E49" s="1" t="s">
        <v>92</v>
      </c>
      <c r="F49" s="1" t="s">
        <v>92</v>
      </c>
      <c r="G49" s="1" t="s">
        <v>92</v>
      </c>
      <c r="H49" s="1" t="s">
        <v>92</v>
      </c>
      <c r="I49" s="1" t="s">
        <v>92</v>
      </c>
      <c r="J49" s="1" t="s">
        <v>92</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92</v>
      </c>
      <c r="C53" s="1" t="s">
        <v>92</v>
      </c>
      <c r="D53" s="1" t="s">
        <v>92</v>
      </c>
      <c r="E53" s="1" t="s">
        <v>92</v>
      </c>
      <c r="F53" s="1" t="s">
        <v>92</v>
      </c>
      <c r="G53" s="1" t="s">
        <v>92</v>
      </c>
      <c r="H53" s="1" t="s">
        <v>92</v>
      </c>
      <c r="I53" s="1" t="s">
        <v>92</v>
      </c>
      <c r="J53" s="1" t="s">
        <v>92</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92</v>
      </c>
      <c r="C56" s="1" t="s">
        <v>92</v>
      </c>
      <c r="D56" s="1" t="s">
        <v>92</v>
      </c>
      <c r="E56" s="1" t="s">
        <v>92</v>
      </c>
      <c r="F56" s="1" t="s">
        <v>92</v>
      </c>
      <c r="G56" s="1">
        <v>14577000</v>
      </c>
      <c r="H56" s="1">
        <v>37868000</v>
      </c>
      <c r="I56" s="1">
        <v>46149000</v>
      </c>
      <c r="J56" s="1">
        <v>52430000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92</v>
      </c>
      <c r="G61" s="1" t="s">
        <v>92</v>
      </c>
      <c r="H61" s="1">
        <v>254562000</v>
      </c>
      <c r="I61" s="1">
        <v>238449000</v>
      </c>
      <c r="J61" s="1">
        <v>208527000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t="s">
        <v>92</v>
      </c>
      <c r="D63" s="1" t="s">
        <v>92</v>
      </c>
      <c r="E63" s="1" t="s">
        <v>92</v>
      </c>
      <c r="F63" s="1" t="s">
        <v>92</v>
      </c>
      <c r="G63" s="1" t="s">
        <v>92</v>
      </c>
      <c r="H63" s="1" t="s">
        <v>92</v>
      </c>
      <c r="I63" s="1" t="s">
        <v>92</v>
      </c>
      <c r="J63" s="1" t="s">
        <v>92</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92</v>
      </c>
      <c r="C66" s="1" t="s">
        <v>92</v>
      </c>
      <c r="D66" s="1" t="s">
        <v>92</v>
      </c>
      <c r="E66" s="1" t="s">
        <v>92</v>
      </c>
      <c r="F66" s="1" t="s">
        <v>92</v>
      </c>
      <c r="G66" s="1" t="s">
        <v>92</v>
      </c>
      <c r="H66" s="1" t="s">
        <v>92</v>
      </c>
      <c r="I66" s="1" t="s">
        <v>92</v>
      </c>
      <c r="J66" s="1" t="s">
        <v>92</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92</v>
      </c>
      <c r="C68" s="1" t="s">
        <v>92</v>
      </c>
      <c r="D68" s="1" t="s">
        <v>92</v>
      </c>
      <c r="E68" s="1" t="s">
        <v>92</v>
      </c>
      <c r="F68" s="1" t="s">
        <v>92</v>
      </c>
      <c r="G68" s="1" t="s">
        <v>92</v>
      </c>
      <c r="H68" s="1" t="s">
        <v>92</v>
      </c>
      <c r="I68" s="1" t="s">
        <v>92</v>
      </c>
      <c r="J68" s="1" t="s">
        <v>92</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92</v>
      </c>
      <c r="J70" s="1" t="s">
        <v>92</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93</v>
      </c>
      <c r="C74" s="13" t="s">
        <v>93</v>
      </c>
      <c r="D74" s="13" t="s">
        <v>93</v>
      </c>
      <c r="E74" s="13" t="s">
        <v>93</v>
      </c>
      <c r="F74" s="13" t="s">
        <v>93</v>
      </c>
      <c r="G74" s="13" t="s">
        <v>93</v>
      </c>
      <c r="H74" s="13" t="s">
        <v>93</v>
      </c>
      <c r="I74" s="13" t="s">
        <v>93</v>
      </c>
      <c r="J74" s="13" t="s">
        <v>93</v>
      </c>
    </row>
    <row r="75" spans="1:11" ht="21" x14ac:dyDescent="0.25">
      <c r="A75" s="4" t="s">
        <v>65</v>
      </c>
      <c r="B75" s="9" t="s">
        <v>91</v>
      </c>
      <c r="C75" s="9" t="s">
        <v>91</v>
      </c>
      <c r="D75" s="9" t="s">
        <v>91</v>
      </c>
      <c r="E75" s="9" t="s">
        <v>91</v>
      </c>
      <c r="F75" s="9" t="s">
        <v>91</v>
      </c>
      <c r="G75" s="9" t="s">
        <v>91</v>
      </c>
      <c r="H75" s="9" t="s">
        <v>91</v>
      </c>
      <c r="I75" s="9" t="s">
        <v>91</v>
      </c>
      <c r="J75" s="9" t="s">
        <v>91</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104</v>
      </c>
      <c r="B80" s="15">
        <f t="shared" ref="B80:J80" si="6">B79/B3</f>
        <v>2.4019035646942622E-3</v>
      </c>
      <c r="C80" s="15">
        <f t="shared" si="6"/>
        <v>3.285428159808848E-3</v>
      </c>
      <c r="D80" s="15">
        <f t="shared" si="6"/>
        <v>2.4915486433478212E-2</v>
      </c>
      <c r="E80" s="15">
        <f t="shared" si="6"/>
        <v>6.9162310969219737E-2</v>
      </c>
      <c r="F80" s="15">
        <f t="shared" si="6"/>
        <v>8.8436058278545296E-2</v>
      </c>
      <c r="G80" s="15">
        <f t="shared" si="6"/>
        <v>0.12216477222876056</v>
      </c>
      <c r="H80" s="15">
        <f t="shared" si="6"/>
        <v>0.13369687560180041</v>
      </c>
      <c r="I80" s="15">
        <f t="shared" si="6"/>
        <v>0.28200777789943227</v>
      </c>
      <c r="J80" s="15">
        <f t="shared" si="6"/>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92</v>
      </c>
      <c r="C83" s="1" t="s">
        <v>92</v>
      </c>
      <c r="D83" s="1" t="s">
        <v>92</v>
      </c>
      <c r="E83" s="1" t="s">
        <v>92</v>
      </c>
      <c r="F83" s="1" t="s">
        <v>92</v>
      </c>
      <c r="G83" s="1" t="s">
        <v>92</v>
      </c>
      <c r="H83" s="1" t="s">
        <v>92</v>
      </c>
      <c r="I83" s="1" t="s">
        <v>92</v>
      </c>
      <c r="J83" s="1" t="s">
        <v>92</v>
      </c>
      <c r="Q83" s="63" t="s">
        <v>125</v>
      </c>
      <c r="R83" s="64"/>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65" t="s">
        <v>126</v>
      </c>
      <c r="R84" s="66"/>
    </row>
    <row r="85" spans="1:18" ht="20" x14ac:dyDescent="0.25">
      <c r="A85" s="5" t="s">
        <v>71</v>
      </c>
      <c r="B85" s="1">
        <v>34260000</v>
      </c>
      <c r="C85" s="1">
        <v>-84000</v>
      </c>
      <c r="D85" s="1">
        <v>172267000</v>
      </c>
      <c r="E85" s="1">
        <v>247281000</v>
      </c>
      <c r="F85" s="1">
        <v>342532000</v>
      </c>
      <c r="G85" s="1">
        <v>518848000</v>
      </c>
      <c r="H85" s="1">
        <v>835634000</v>
      </c>
      <c r="I85" s="1" t="s">
        <v>92</v>
      </c>
      <c r="J85" s="1" t="s">
        <v>92</v>
      </c>
      <c r="Q85" s="24" t="s">
        <v>127</v>
      </c>
      <c r="R85" s="25">
        <f>J17</f>
        <v>12755000</v>
      </c>
    </row>
    <row r="86" spans="1:18" ht="20" x14ac:dyDescent="0.25">
      <c r="A86" s="5" t="s">
        <v>72</v>
      </c>
      <c r="B86" s="1">
        <v>847000</v>
      </c>
      <c r="C86" s="1">
        <v>6679000</v>
      </c>
      <c r="D86" s="1">
        <v>12508000</v>
      </c>
      <c r="E86" s="1">
        <v>2986000</v>
      </c>
      <c r="F86" s="1">
        <v>5020000</v>
      </c>
      <c r="G86" s="1">
        <v>22657000</v>
      </c>
      <c r="H86" s="1">
        <v>38608000</v>
      </c>
      <c r="I86" s="1">
        <v>47574000</v>
      </c>
      <c r="J86" s="1" t="s">
        <v>92</v>
      </c>
      <c r="Q86" s="24" t="s">
        <v>128</v>
      </c>
      <c r="R86" s="2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24" t="s">
        <v>129</v>
      </c>
      <c r="R87" s="2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34" t="s">
        <v>130</v>
      </c>
      <c r="R88" s="35">
        <f>R85/(R86+R87)</f>
        <v>4.8877784462574292E-2</v>
      </c>
    </row>
    <row r="89" spans="1:18" ht="20" customHeight="1" x14ac:dyDescent="0.25">
      <c r="A89" s="14" t="s">
        <v>105</v>
      </c>
      <c r="B89" s="15">
        <f t="shared" ref="B89:J89" si="7">(-1*B88)/B3</f>
        <v>1.8676483792762863E-2</v>
      </c>
      <c r="C89" s="15">
        <f t="shared" si="7"/>
        <v>4.5047260971924526E-2</v>
      </c>
      <c r="D89" s="15">
        <f t="shared" si="7"/>
        <v>4.544020973162631E-2</v>
      </c>
      <c r="E89" s="15">
        <f t="shared" si="7"/>
        <v>4.2385721747989241E-2</v>
      </c>
      <c r="F89" s="15">
        <f t="shared" si="7"/>
        <v>5.2778790431055073E-2</v>
      </c>
      <c r="G89" s="15">
        <f t="shared" si="7"/>
        <v>6.1422749592320192E-2</v>
      </c>
      <c r="H89" s="15">
        <f t="shared" si="7"/>
        <v>8.8586216094340767E-2</v>
      </c>
      <c r="I89" s="15">
        <f t="shared" si="7"/>
        <v>4.5804857133544007E-2</v>
      </c>
      <c r="J89" s="15">
        <f t="shared" si="7"/>
        <v>5.3340262835159191E-2</v>
      </c>
      <c r="K89" s="15"/>
      <c r="L89" s="15"/>
      <c r="M89" s="15"/>
      <c r="N89" s="15"/>
      <c r="O89" s="15"/>
      <c r="P89" s="15"/>
      <c r="Q89" s="24" t="s">
        <v>106</v>
      </c>
      <c r="R89" s="25">
        <f>J27</f>
        <v>73985000</v>
      </c>
    </row>
    <row r="90" spans="1:18" ht="20" x14ac:dyDescent="0.25">
      <c r="A90" s="5" t="s">
        <v>75</v>
      </c>
      <c r="B90" s="1" t="s">
        <v>92</v>
      </c>
      <c r="C90" s="1" t="s">
        <v>92</v>
      </c>
      <c r="D90" s="1" t="s">
        <v>92</v>
      </c>
      <c r="E90" s="1">
        <v>-3000000</v>
      </c>
      <c r="F90" s="1" t="s">
        <v>92</v>
      </c>
      <c r="G90" s="1" t="s">
        <v>92</v>
      </c>
      <c r="H90" s="1" t="s">
        <v>92</v>
      </c>
      <c r="I90" s="1">
        <v>-13261000</v>
      </c>
      <c r="J90" s="1" t="s">
        <v>92</v>
      </c>
      <c r="Q90" s="24" t="s">
        <v>19</v>
      </c>
      <c r="R90" s="25">
        <f>J25</f>
        <v>127370000</v>
      </c>
    </row>
    <row r="91" spans="1:18" ht="20" x14ac:dyDescent="0.25">
      <c r="A91" s="5" t="s">
        <v>76</v>
      </c>
      <c r="B91" s="1">
        <v>-551000</v>
      </c>
      <c r="C91" s="1" t="s">
        <v>92</v>
      </c>
      <c r="D91" s="1" t="s">
        <v>92</v>
      </c>
      <c r="E91" s="1" t="s">
        <v>92</v>
      </c>
      <c r="F91" s="1" t="s">
        <v>92</v>
      </c>
      <c r="G91" s="1">
        <v>-212776000</v>
      </c>
      <c r="H91" s="1">
        <v>-230759000</v>
      </c>
      <c r="I91" s="1">
        <v>-278387000</v>
      </c>
      <c r="J91" s="1">
        <v>-553295000</v>
      </c>
      <c r="Q91" s="34" t="s">
        <v>131</v>
      </c>
      <c r="R91" s="35">
        <f>R89/R90</f>
        <v>0.58086676611446963</v>
      </c>
    </row>
    <row r="92" spans="1:18" ht="20" x14ac:dyDescent="0.25">
      <c r="A92" s="5" t="s">
        <v>77</v>
      </c>
      <c r="B92" s="1" t="s">
        <v>92</v>
      </c>
      <c r="C92" s="1">
        <v>551000</v>
      </c>
      <c r="D92" s="1" t="s">
        <v>92</v>
      </c>
      <c r="E92" s="1" t="s">
        <v>92</v>
      </c>
      <c r="F92" s="1" t="s">
        <v>92</v>
      </c>
      <c r="G92" s="1">
        <v>89539000</v>
      </c>
      <c r="H92" s="1">
        <v>167602000</v>
      </c>
      <c r="I92" s="1">
        <v>257983000</v>
      </c>
      <c r="J92" s="1">
        <v>340806000</v>
      </c>
      <c r="Q92" s="36" t="s">
        <v>132</v>
      </c>
      <c r="R92" s="37">
        <f>R88*(1-R91)</f>
        <v>2.0486303866958693E-2</v>
      </c>
    </row>
    <row r="93" spans="1:18" ht="19" x14ac:dyDescent="0.25">
      <c r="A93" s="5" t="s">
        <v>78</v>
      </c>
      <c r="B93" s="1">
        <v>-825000</v>
      </c>
      <c r="C93" s="1">
        <v>-1799000</v>
      </c>
      <c r="D93" s="1" t="s">
        <v>92</v>
      </c>
      <c r="E93" s="1" t="s">
        <v>92</v>
      </c>
      <c r="F93" s="1" t="s">
        <v>92</v>
      </c>
      <c r="G93" s="1" t="s">
        <v>92</v>
      </c>
      <c r="H93" s="1">
        <v>-6053000</v>
      </c>
      <c r="I93" s="1">
        <v>-5169000</v>
      </c>
      <c r="J93" s="1">
        <v>-7725000</v>
      </c>
      <c r="Q93" s="65" t="s">
        <v>133</v>
      </c>
      <c r="R93" s="66"/>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24" t="s">
        <v>134</v>
      </c>
      <c r="R94" s="38">
        <v>4.095E-2</v>
      </c>
    </row>
    <row r="95" spans="1:18" ht="20" x14ac:dyDescent="0.25">
      <c r="A95" s="5" t="s">
        <v>80</v>
      </c>
      <c r="B95" s="1">
        <v>-7500000</v>
      </c>
      <c r="C95" s="1">
        <v>-15000000</v>
      </c>
      <c r="D95" s="1">
        <v>-95000000</v>
      </c>
      <c r="E95" s="1" t="s">
        <v>92</v>
      </c>
      <c r="F95" s="1">
        <v>-27000000</v>
      </c>
      <c r="G95" s="1" t="s">
        <v>92</v>
      </c>
      <c r="H95" s="1">
        <v>-143000000</v>
      </c>
      <c r="I95" s="1">
        <v>-1924000</v>
      </c>
      <c r="J95" s="1" t="s">
        <v>92</v>
      </c>
      <c r="Q95" s="57" t="s">
        <v>135</v>
      </c>
      <c r="R95" s="58" cm="1">
        <f t="array" ref="R95">_FV(A1,"Beta")</f>
        <v>1.7881</v>
      </c>
    </row>
    <row r="96" spans="1:18" ht="20" x14ac:dyDescent="0.25">
      <c r="A96" s="5" t="s">
        <v>81</v>
      </c>
      <c r="B96" s="1" t="s">
        <v>92</v>
      </c>
      <c r="C96" s="1" t="s">
        <v>92</v>
      </c>
      <c r="D96" s="1">
        <v>78120000</v>
      </c>
      <c r="E96" s="1" t="s">
        <v>92</v>
      </c>
      <c r="F96" s="1" t="s">
        <v>92</v>
      </c>
      <c r="G96" s="1" t="s">
        <v>92</v>
      </c>
      <c r="H96" s="1" t="s">
        <v>92</v>
      </c>
      <c r="I96" s="1" t="s">
        <v>92</v>
      </c>
      <c r="J96" s="1" t="s">
        <v>92</v>
      </c>
      <c r="Q96" s="24" t="s">
        <v>136</v>
      </c>
      <c r="R96" s="38">
        <v>8.4000000000000005E-2</v>
      </c>
    </row>
    <row r="97" spans="1:18" ht="20" x14ac:dyDescent="0.25">
      <c r="A97" s="5" t="s">
        <v>82</v>
      </c>
      <c r="B97" s="1">
        <v>-561000</v>
      </c>
      <c r="C97" s="1">
        <v>-39000</v>
      </c>
      <c r="D97" s="1">
        <v>-54284000</v>
      </c>
      <c r="E97" s="1" t="s">
        <v>92</v>
      </c>
      <c r="F97" s="1" t="s">
        <v>92</v>
      </c>
      <c r="G97" s="1" t="s">
        <v>92</v>
      </c>
      <c r="H97" s="1" t="s">
        <v>92</v>
      </c>
      <c r="I97" s="1" t="s">
        <v>92</v>
      </c>
      <c r="J97" s="1" t="s">
        <v>92</v>
      </c>
      <c r="Q97" s="36" t="s">
        <v>137</v>
      </c>
      <c r="R97" s="37">
        <f>(R94)+((R95)*(R96-R94))</f>
        <v>0.11792770500000001</v>
      </c>
    </row>
    <row r="98" spans="1:18" ht="19" x14ac:dyDescent="0.25">
      <c r="A98" s="5" t="s">
        <v>83</v>
      </c>
      <c r="B98" s="1" t="s">
        <v>92</v>
      </c>
      <c r="C98" s="1" t="s">
        <v>92</v>
      </c>
      <c r="D98" s="1" t="s">
        <v>92</v>
      </c>
      <c r="E98" s="1" t="s">
        <v>92</v>
      </c>
      <c r="F98" s="1" t="s">
        <v>92</v>
      </c>
      <c r="G98" s="1" t="s">
        <v>92</v>
      </c>
      <c r="H98" s="1" t="s">
        <v>92</v>
      </c>
      <c r="I98" s="1" t="s">
        <v>92</v>
      </c>
      <c r="J98" s="1" t="s">
        <v>92</v>
      </c>
      <c r="Q98" s="65" t="s">
        <v>138</v>
      </c>
      <c r="R98" s="66"/>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24" t="s">
        <v>139</v>
      </c>
      <c r="R99" s="2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34" t="s">
        <v>140</v>
      </c>
      <c r="R100" s="35">
        <f>R99/R103</f>
        <v>8.5239905107453127E-3</v>
      </c>
    </row>
    <row r="101" spans="1:18" ht="20" x14ac:dyDescent="0.25">
      <c r="A101" s="5" t="s">
        <v>86</v>
      </c>
      <c r="B101" s="1" t="s">
        <v>92</v>
      </c>
      <c r="C101" s="1" t="s">
        <v>92</v>
      </c>
      <c r="D101" s="1" t="s">
        <v>92</v>
      </c>
      <c r="E101" s="1" t="s">
        <v>92</v>
      </c>
      <c r="F101" s="1" t="s">
        <v>92</v>
      </c>
      <c r="G101" s="1" t="s">
        <v>92</v>
      </c>
      <c r="H101" s="1" t="s">
        <v>92</v>
      </c>
      <c r="I101" s="1" t="s">
        <v>92</v>
      </c>
      <c r="J101" s="1" t="s">
        <v>92</v>
      </c>
      <c r="Q101" s="57" t="s">
        <v>141</v>
      </c>
      <c r="R101" s="51" cm="1">
        <f t="array" ref="R101">_FV(A1,"Market cap",TRUE)</f>
        <v>30353460000</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34" t="s">
        <v>142</v>
      </c>
      <c r="R102" s="35">
        <f>R101/R103</f>
        <v>0.99147600948925474</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36" t="s">
        <v>143</v>
      </c>
      <c r="R103" s="39">
        <f>R99+R101</f>
        <v>30614417000</v>
      </c>
    </row>
    <row r="104" spans="1:18" ht="19" x14ac:dyDescent="0.25">
      <c r="A104" s="7" t="s">
        <v>89</v>
      </c>
      <c r="B104" s="11">
        <v>17315000</v>
      </c>
      <c r="C104" s="11">
        <v>4047000</v>
      </c>
      <c r="D104" s="11">
        <v>133400000</v>
      </c>
      <c r="E104" s="11">
        <v>155950000</v>
      </c>
      <c r="F104" s="11">
        <v>207232000</v>
      </c>
      <c r="G104" s="11">
        <v>130876000</v>
      </c>
      <c r="H104" s="11">
        <v>437353000</v>
      </c>
      <c r="I104" s="11">
        <v>754154000</v>
      </c>
      <c r="J104" s="11">
        <v>1030506000</v>
      </c>
      <c r="Q104" s="65" t="s">
        <v>144</v>
      </c>
      <c r="R104" s="66"/>
    </row>
    <row r="105" spans="1:18" ht="20" customHeight="1" x14ac:dyDescent="0.25">
      <c r="A105" s="14" t="s">
        <v>107</v>
      </c>
      <c r="B105" s="1"/>
      <c r="C105" s="15">
        <f>(C106/B106)-1</f>
        <v>1.6352563325657496</v>
      </c>
      <c r="D105" s="15">
        <f>(D106/C106)-1</f>
        <v>-2.5133258215098766</v>
      </c>
      <c r="E105" s="15">
        <f>(E106/D106)-1</f>
        <v>-0.72405409512232177</v>
      </c>
      <c r="F105" s="15">
        <f>(F106/E106)-1</f>
        <v>2.3817180616740088</v>
      </c>
      <c r="G105" s="15">
        <f>(G106/F106)-1</f>
        <v>-0.68082785123428646</v>
      </c>
      <c r="H105" s="15">
        <f t="shared" ref="H105:J105" si="8">(H106/G106)-1</f>
        <v>15.578490893321771</v>
      </c>
      <c r="I105" s="15">
        <f>(I106/H106)-1</f>
        <v>-1.9741194934683293E-2</v>
      </c>
      <c r="J105" s="15">
        <f t="shared" si="8"/>
        <v>0.43419664720286311</v>
      </c>
      <c r="K105" s="15"/>
      <c r="L105" s="15"/>
      <c r="M105" s="15"/>
      <c r="N105" s="15"/>
      <c r="O105" s="15"/>
      <c r="P105" s="15"/>
      <c r="Q105" s="26" t="s">
        <v>108</v>
      </c>
      <c r="R105" s="27">
        <f>(R100*R92)+(R102*R97)</f>
        <v>0.11709711542138825</v>
      </c>
    </row>
    <row r="106" spans="1:18" ht="19" x14ac:dyDescent="0.25">
      <c r="A106" s="5" t="s">
        <v>90</v>
      </c>
      <c r="B106" s="1">
        <v>-16502000</v>
      </c>
      <c r="C106" s="1">
        <v>-43487000</v>
      </c>
      <c r="D106" s="1">
        <v>65810000</v>
      </c>
      <c r="E106" s="1">
        <v>18160000</v>
      </c>
      <c r="F106" s="1">
        <v>61412000</v>
      </c>
      <c r="G106" s="1">
        <v>19601000</v>
      </c>
      <c r="H106" s="1">
        <v>324955000</v>
      </c>
      <c r="I106" s="1">
        <v>318540000</v>
      </c>
      <c r="J106" s="1">
        <v>456849000</v>
      </c>
      <c r="K106" s="40">
        <f>J106*(1+$R$106)</f>
        <v>561011284.37003779</v>
      </c>
      <c r="L106" s="40">
        <f t="shared" ref="L106:O106" si="9">K106*(1+$R$106)</f>
        <v>688922731.99792361</v>
      </c>
      <c r="M106" s="40">
        <f t="shared" si="9"/>
        <v>845998189.1387974</v>
      </c>
      <c r="N106" s="40">
        <f t="shared" si="9"/>
        <v>1038887095.4374046</v>
      </c>
      <c r="O106" s="40">
        <f t="shared" si="9"/>
        <v>1275754973.1460426</v>
      </c>
      <c r="P106" s="41" t="s">
        <v>145</v>
      </c>
      <c r="Q106" s="42" t="s">
        <v>146</v>
      </c>
      <c r="R106" s="43">
        <f>(SUM(K4:O4)/5)</f>
        <v>0.22800155931180269</v>
      </c>
    </row>
    <row r="107" spans="1:18" ht="19" x14ac:dyDescent="0.25">
      <c r="A107" s="5"/>
      <c r="B107" s="13"/>
      <c r="C107" s="13"/>
      <c r="D107" s="13"/>
      <c r="E107" s="13"/>
      <c r="F107" s="13"/>
      <c r="G107" s="13"/>
      <c r="H107" s="13"/>
      <c r="I107" s="13"/>
      <c r="J107" s="13"/>
      <c r="K107" s="41"/>
      <c r="L107" s="41"/>
      <c r="M107" s="41"/>
      <c r="N107" s="41"/>
      <c r="O107" s="44">
        <f>O106*(1+R107)/(R108-R107)</f>
        <v>14198586367.136215</v>
      </c>
      <c r="P107" s="45" t="s">
        <v>147</v>
      </c>
      <c r="Q107" s="46" t="s">
        <v>148</v>
      </c>
      <c r="R107" s="47">
        <v>2.5000000000000001E-2</v>
      </c>
    </row>
    <row r="108" spans="1:18" ht="19" x14ac:dyDescent="0.25">
      <c r="K108" s="44">
        <f t="shared" ref="K108:M108" si="10">K107+K106</f>
        <v>561011284.37003779</v>
      </c>
      <c r="L108" s="44">
        <f t="shared" si="10"/>
        <v>688922731.99792361</v>
      </c>
      <c r="M108" s="44">
        <f t="shared" si="10"/>
        <v>845998189.1387974</v>
      </c>
      <c r="N108" s="44">
        <f>N107+N106</f>
        <v>1038887095.4374046</v>
      </c>
      <c r="O108" s="44">
        <f>O107+O106</f>
        <v>15474341340.282257</v>
      </c>
      <c r="P108" s="45" t="s">
        <v>143</v>
      </c>
      <c r="Q108" s="48" t="s">
        <v>149</v>
      </c>
      <c r="R108" s="49">
        <f>R105</f>
        <v>0.11709711542138825</v>
      </c>
    </row>
    <row r="109" spans="1:18" ht="19" x14ac:dyDescent="0.25">
      <c r="K109" s="61" t="s">
        <v>150</v>
      </c>
      <c r="L109" s="62"/>
    </row>
    <row r="110" spans="1:18" ht="20" x14ac:dyDescent="0.25">
      <c r="K110" s="50" t="s">
        <v>151</v>
      </c>
      <c r="L110" s="51">
        <f>NPV(R108,K108,L108,M108,N108,O108)</f>
        <v>11223496919.385857</v>
      </c>
    </row>
    <row r="111" spans="1:18" ht="20" x14ac:dyDescent="0.25">
      <c r="K111" s="50" t="s">
        <v>152</v>
      </c>
      <c r="L111" s="51">
        <f>J40</f>
        <v>1446586000</v>
      </c>
    </row>
    <row r="112" spans="1:18" ht="20" x14ac:dyDescent="0.25">
      <c r="K112" s="50" t="s">
        <v>139</v>
      </c>
      <c r="L112" s="51">
        <f>R99</f>
        <v>260957000</v>
      </c>
    </row>
    <row r="113" spans="11:12" ht="20" x14ac:dyDescent="0.25">
      <c r="K113" s="50" t="s">
        <v>153</v>
      </c>
      <c r="L113" s="51">
        <f>L110+L111-L112</f>
        <v>12409125919.385857</v>
      </c>
    </row>
    <row r="114" spans="11:12" ht="20" x14ac:dyDescent="0.25">
      <c r="K114" s="50" t="s">
        <v>154</v>
      </c>
      <c r="L114" s="52">
        <f>J34*(1+(5*P16))</f>
        <v>564223217.81823242</v>
      </c>
    </row>
    <row r="115" spans="11:12" ht="20" x14ac:dyDescent="0.25">
      <c r="K115" s="53" t="s">
        <v>155</v>
      </c>
      <c r="L115" s="60">
        <f>L113/L114</f>
        <v>21.993291887863297</v>
      </c>
    </row>
    <row r="116" spans="11:12" ht="20" x14ac:dyDescent="0.25">
      <c r="K116" s="50" t="s">
        <v>156</v>
      </c>
      <c r="L116" s="59" cm="1">
        <f t="array" ref="L116">_FV(A1,"Price")</f>
        <v>62.19</v>
      </c>
    </row>
    <row r="117" spans="11:12" ht="20" x14ac:dyDescent="0.25">
      <c r="K117" s="54" t="s">
        <v>157</v>
      </c>
      <c r="L117" s="55">
        <f>L115/L116-1</f>
        <v>-0.64635324187388177</v>
      </c>
    </row>
    <row r="118" spans="11:12" ht="20" x14ac:dyDescent="0.25">
      <c r="K118" s="54" t="s">
        <v>158</v>
      </c>
      <c r="L118" s="5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2023-04-23T07:26:19Z</dcterms:modified>
</cp:coreProperties>
</file>