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Healthcare/"/>
    </mc:Choice>
  </mc:AlternateContent>
  <xr:revisionPtr revIDLastSave="0" documentId="13_ncr:1_{B9D3EE7C-B20F-9746-ADA2-C83485AE183B}" xr6:coauthVersionLast="47" xr6:coauthVersionMax="47" xr10:uidLastSave="{00000000-0000-0000-0000-000000000000}"/>
  <bookViews>
    <workbookView xWindow="3420" yWindow="500" windowWidth="25380" windowHeight="1608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2" l="1"/>
  <c r="O10" i="2"/>
  <c r="O9" i="2"/>
  <c r="O7" i="2"/>
  <c r="G7" i="2"/>
  <c r="E7" i="2"/>
  <c r="O6" i="2"/>
  <c r="G6" i="2"/>
  <c r="E6" i="2"/>
  <c r="C6" i="2"/>
  <c r="O5" i="2"/>
  <c r="O8" i="2" s="1"/>
  <c r="O12" i="2" s="1"/>
  <c r="G5" i="2"/>
  <c r="C5" i="2"/>
  <c r="C4" i="2"/>
  <c r="A4" i="2"/>
  <c r="G3" i="2"/>
  <c r="C3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C15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O19" i="2"/>
  <c r="K5" i="2" a="1"/>
  <c r="K5" i="2" s="1"/>
  <c r="A5" i="2" a="1"/>
  <c r="A5" i="2" s="1"/>
  <c r="K4" i="2" a="1"/>
  <c r="K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5" i="2" l="1"/>
  <c r="K13" i="2"/>
  <c r="K11" i="2"/>
  <c r="E5" i="2"/>
  <c r="G4" i="2"/>
  <c r="O21" i="2"/>
  <c r="A6" i="2"/>
  <c r="A7" i="2"/>
  <c r="O23" i="2" l="1"/>
  <c r="O22" i="2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<sst xmlns="http://schemas.openxmlformats.org/spreadsheetml/2006/main" count="1255" uniqueCount="250">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</sst>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4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4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4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164" fontId="4" fillId="9" borderId="0" xfId="0" applyNumberFormat="1" applyFont="1" applyFill="1" applyAlignment="1">
      <alignment horizontal="right" vertical="center" indent="1"/>
    </xf>
    <xf numFmtId="9" fontId="14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4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4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4" fillId="9" borderId="10" xfId="0" applyNumberFormat="1" applyFont="1" applyFill="1" applyBorder="1" applyAlignment="1">
      <alignment horizontal="right" vertical="center" indent="1"/>
    </xf>
    <xf numFmtId="0" fontId="15" fillId="11" borderId="6" xfId="0" applyFont="1" applyFill="1" applyBorder="1" applyAlignment="1">
      <alignment horizontal="left" vertical="center" wrapText="1"/>
    </xf>
    <xf numFmtId="164" fontId="16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4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9" xfId="1" applyFont="1" applyFill="1" applyBorder="1" applyAlignment="1">
      <alignment horizontal="left" vertical="center" indent="1"/>
    </xf>
    <xf numFmtId="0" fontId="15" fillId="11" borderId="10" xfId="0" applyFont="1" applyFill="1" applyBorder="1" applyAlignment="1">
      <alignment horizontal="left" vertical="center" wrapText="1"/>
    </xf>
    <xf numFmtId="164" fontId="16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4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4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8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7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9" fillId="11" borderId="10" xfId="0" applyFont="1" applyFill="1" applyBorder="1" applyAlignment="1">
      <alignment horizontal="left" vertical="center" wrapText="1"/>
    </xf>
    <xf numFmtId="10" fontId="20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21" fillId="9" borderId="0" xfId="0" applyFont="1" applyFill="1" applyAlignment="1">
      <alignment horizontal="right" vertical="center" indent="1"/>
    </xf>
    <xf numFmtId="0" fontId="22" fillId="14" borderId="0" xfId="0" applyFont="1" applyFill="1" applyAlignment="1">
      <alignment horizontal="right" vertical="center" indent="1"/>
    </xf>
    <xf numFmtId="0" fontId="23" fillId="14" borderId="0" xfId="0" applyFont="1" applyFill="1" applyAlignment="1">
      <alignment horizontal="right" vertical="center" indent="1"/>
    </xf>
    <xf numFmtId="0" fontId="1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21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6" fillId="11" borderId="9" xfId="0" applyNumberFormat="1" applyFont="1" applyFill="1" applyBorder="1" applyAlignment="1">
      <alignment vertical="center"/>
    </xf>
    <xf numFmtId="0" fontId="15" fillId="11" borderId="11" xfId="0" applyFont="1" applyFill="1" applyBorder="1" applyAlignment="1">
      <alignment horizontal="left" vertical="center" wrapText="1"/>
    </xf>
    <xf numFmtId="10" fontId="16" fillId="11" borderId="12" xfId="0" applyNumberFormat="1" applyFont="1" applyFill="1" applyBorder="1" applyAlignment="1">
      <alignment vertical="center"/>
    </xf>
    <xf numFmtId="0" fontId="25" fillId="11" borderId="0" xfId="0" applyFont="1" applyFill="1" applyAlignment="1">
      <alignment horizontal="left" vertical="center" indent="1"/>
    </xf>
    <xf numFmtId="2" fontId="16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9" fillId="11" borderId="11" xfId="0" applyFont="1" applyFill="1" applyBorder="1" applyAlignment="1">
      <alignment horizontal="left" vertical="center" wrapText="1"/>
    </xf>
    <xf numFmtId="10" fontId="20" fillId="11" borderId="12" xfId="0" applyNumberFormat="1" applyFont="1" applyFill="1" applyBorder="1" applyAlignment="1">
      <alignment vertical="center"/>
    </xf>
    <xf numFmtId="164" fontId="16" fillId="11" borderId="9" xfId="0" applyNumberFormat="1" applyFont="1" applyFill="1" applyBorder="1" applyAlignment="1">
      <alignment horizontal="right" vertical="center"/>
    </xf>
    <xf numFmtId="10" fontId="20" fillId="11" borderId="9" xfId="0" applyNumberFormat="1" applyFont="1" applyFill="1" applyBorder="1" applyAlignment="1">
      <alignment horizontal="right" vertical="center"/>
    </xf>
    <xf numFmtId="10" fontId="20" fillId="11" borderId="12" xfId="0" applyNumberFormat="1" applyFont="1" applyFill="1" applyBorder="1" applyAlignment="1">
      <alignment horizontal="right" vertical="center"/>
    </xf>
    <xf numFmtId="0" fontId="14" fillId="12" borderId="1" xfId="0" applyFont="1" applyFill="1" applyBorder="1" applyAlignment="1">
      <alignment horizontal="left" vertical="center" indent="1"/>
    </xf>
    <xf numFmtId="0" fontId="14" fillId="12" borderId="1" xfId="0" applyFont="1" applyFill="1" applyBorder="1" applyAlignment="1">
      <alignment horizontal="left" vertical="center" wrapText="1" indent="2"/>
    </xf>
    <xf numFmtId="9" fontId="17" fillId="10" borderId="7" xfId="1" applyFont="1" applyFill="1" applyBorder="1" applyAlignment="1">
      <alignment horizontal="center" vertical="center"/>
    </xf>
    <xf numFmtId="9" fontId="17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1"/>
    </xf>
    <xf numFmtId="0" fontId="26" fillId="0" borderId="0" xfId="0" applyFont="1" applyAlignment="1">
      <alignment horizontal="left" vertical="center" indent="1"/>
    </xf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4.5080000000000002E-2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https://www.bing.com/financeapi/forcetrigger?t=a25k5r&amp;q=XNAS%3aVRTX&amp;form=skydnc</v>
    <v>Learn more on Bing</v>
  </rv>
  <rv s="1">
    <v>0</v>
    <v>VERTEX PHARMACEUTICALS INCORPORATED (XNAS:VRTX)</v>
    <v>2</v>
    <v>3</v>
    <v>Finance</v>
    <v>4</v>
    <v>en-US</v>
    <v>a25k5r</v>
    <v>268435456</v>
    <v>1</v>
    <v>Powered by Refinitiv</v>
    <v>387.42</v>
    <v>282.20999999999998</v>
    <v>0.45069999999999999</v>
    <v>-8.39</v>
    <v>-2.2256999999999999E-2</v>
    <v>-3.57</v>
    <v>-9.6860000000000002E-3</v>
    <v>USD</v>
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<v>4800</v>
    <v>Nasdaq Stock Market</v>
    <v>XNAS</v>
    <v>XNAS</v>
    <v>50 Northern Avenue, BOSTON, MA, 02210 US</v>
    <v>377.74</v>
    <v>Biotechnology &amp; Medical Research</v>
    <v>Stock</v>
    <v>45240.022645902347</v>
    <v>0</v>
    <v>367.02010000000001</v>
    <v>95017346000</v>
    <v>VERTEX PHARMACEUTICALS INCORPORATED</v>
    <v>VERTEX PHARMACEUTICALS INCORPORATED</v>
    <v>377.33</v>
    <v>27.662700000000001</v>
    <v>376.96</v>
    <v>368.57</v>
    <v>365</v>
    <v>257800000</v>
    <v>VRTX</v>
    <v>VERTEX PHARMACEUTICALS INCORPORATED (XNAS:VRTX)</v>
    <v>1207057</v>
    <v>1278660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1" formatCode="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5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VRT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6"/>
  <sheetViews>
    <sheetView topLeftCell="A15" workbookViewId="0">
      <pane xSplit="1" topLeftCell="J1" activePane="topRight" state="frozen"/>
      <selection pane="topRight" activeCell="K36" sqref="K36:N36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30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ht="16" x14ac:dyDescent="0.2">
      <c r="A2" s="32" t="s">
        <v>18</v>
      </c>
      <c r="B2" s="30">
        <v>143370000</v>
      </c>
      <c r="C2" s="30">
        <v>1410626000</v>
      </c>
      <c r="D2" s="30">
        <v>1527042000</v>
      </c>
      <c r="E2" s="30">
        <v>1211975000</v>
      </c>
      <c r="F2" s="30">
        <v>580415000</v>
      </c>
      <c r="G2" s="30">
        <v>1032336000</v>
      </c>
      <c r="H2" s="30">
        <v>1702177000</v>
      </c>
      <c r="I2" s="30">
        <v>2488652000</v>
      </c>
      <c r="J2" s="30">
        <v>3047597000</v>
      </c>
      <c r="K2" s="30">
        <v>4162821000</v>
      </c>
      <c r="L2" s="30">
        <v>6205683000</v>
      </c>
      <c r="M2" s="30">
        <v>7574400000</v>
      </c>
      <c r="N2" s="30">
        <v>8930700000</v>
      </c>
      <c r="O2" s="31">
        <v>9505000000</v>
      </c>
      <c r="P2" s="30">
        <v>2334300000</v>
      </c>
      <c r="Q2" s="30">
        <v>2302700000</v>
      </c>
      <c r="R2" s="30">
        <v>2374800000</v>
      </c>
      <c r="S2" s="30">
        <v>2493200000</v>
      </c>
    </row>
    <row r="3" spans="1:30" ht="19" x14ac:dyDescent="0.25">
      <c r="A3" s="9" t="s">
        <v>191</v>
      </c>
      <c r="B3" s="10"/>
      <c r="C3" s="11">
        <f t="shared" ref="C3:O3" si="0">(C2/B2)-1</f>
        <v>8.839059775406291</v>
      </c>
      <c r="D3" s="11">
        <f t="shared" si="0"/>
        <v>8.2527898961170409E-2</v>
      </c>
      <c r="E3" s="11">
        <f t="shared" si="0"/>
        <v>-0.20632503886599063</v>
      </c>
      <c r="F3" s="11">
        <f t="shared" si="0"/>
        <v>-0.5210998576703314</v>
      </c>
      <c r="G3" s="11">
        <f t="shared" si="0"/>
        <v>0.77861702402591249</v>
      </c>
      <c r="H3" s="11">
        <f t="shared" si="0"/>
        <v>0.64885947985927062</v>
      </c>
      <c r="I3" s="11">
        <f t="shared" si="0"/>
        <v>0.46204066909610453</v>
      </c>
      <c r="J3" s="11">
        <f t="shared" si="0"/>
        <v>0.22459749293995301</v>
      </c>
      <c r="K3" s="11">
        <f t="shared" si="0"/>
        <v>0.3659355223147942</v>
      </c>
      <c r="L3" s="11">
        <f t="shared" si="0"/>
        <v>0.49073981321800764</v>
      </c>
      <c r="M3" s="11">
        <f t="shared" si="0"/>
        <v>0.22055863955667743</v>
      </c>
      <c r="N3" s="11">
        <f t="shared" si="0"/>
        <v>0.17906368821292773</v>
      </c>
      <c r="O3" s="11">
        <f t="shared" si="0"/>
        <v>6.4306269385378423E-2</v>
      </c>
      <c r="P3" s="11"/>
      <c r="Q3" s="11">
        <f>(Q2/P2)-1</f>
        <v>-1.3537248854046169E-2</v>
      </c>
      <c r="R3" s="11">
        <f>(R2/Q2)-1</f>
        <v>3.1311069613931375E-2</v>
      </c>
      <c r="S3" s="11">
        <f>(S2/R2)-1</f>
        <v>4.9856830048846223E-2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ht="16" x14ac:dyDescent="0.2">
      <c r="A4" s="2" t="s">
        <v>19</v>
      </c>
      <c r="B4" s="3">
        <v>143370000</v>
      </c>
      <c r="C4" s="3">
        <v>1410626000</v>
      </c>
      <c r="D4" s="3">
        <v>1527042000</v>
      </c>
      <c r="E4" s="3">
        <v>1211975000</v>
      </c>
      <c r="F4" s="3">
        <v>580415000</v>
      </c>
      <c r="G4" s="3">
        <v>1032336000</v>
      </c>
      <c r="H4" s="3">
        <v>1702177000</v>
      </c>
      <c r="I4" s="3">
        <v>2488652000</v>
      </c>
      <c r="J4" s="3">
        <v>3047597000</v>
      </c>
      <c r="K4" s="3">
        <v>4162821000</v>
      </c>
      <c r="L4" s="3">
        <v>6205683000</v>
      </c>
      <c r="M4" s="3">
        <v>7574400000</v>
      </c>
      <c r="N4" s="3">
        <v>8930700000</v>
      </c>
      <c r="O4" s="4">
        <v>9505000000</v>
      </c>
      <c r="P4" s="3">
        <v>2334300000</v>
      </c>
      <c r="Q4" s="3">
        <v>2302700000</v>
      </c>
      <c r="R4" s="3">
        <v>2374800000</v>
      </c>
      <c r="S4" s="3">
        <v>2493200000</v>
      </c>
    </row>
    <row r="5" spans="1:30" ht="16" x14ac:dyDescent="0.2">
      <c r="A5" s="2" t="s">
        <v>20</v>
      </c>
      <c r="B5" s="3">
        <v>12730000</v>
      </c>
      <c r="C5" s="3">
        <v>80505000</v>
      </c>
      <c r="D5" s="3">
        <v>279885000</v>
      </c>
      <c r="E5" s="3">
        <v>130277000</v>
      </c>
      <c r="F5" s="3">
        <v>60987000</v>
      </c>
      <c r="G5" s="3">
        <v>125542000</v>
      </c>
      <c r="H5" s="3">
        <v>210460000</v>
      </c>
      <c r="I5" s="3">
        <v>275119000</v>
      </c>
      <c r="J5" s="3">
        <v>409539000</v>
      </c>
      <c r="K5" s="3">
        <v>547758000</v>
      </c>
      <c r="L5" s="3">
        <v>736300000</v>
      </c>
      <c r="M5" s="3">
        <v>904200000</v>
      </c>
      <c r="N5" s="3">
        <v>1080300000</v>
      </c>
      <c r="O5" s="4">
        <v>1148200000</v>
      </c>
      <c r="P5" s="3">
        <v>289400000</v>
      </c>
      <c r="Q5" s="3">
        <v>283300000</v>
      </c>
      <c r="R5" s="3">
        <v>266900000</v>
      </c>
      <c r="S5" s="3">
        <v>308600000</v>
      </c>
    </row>
    <row r="6" spans="1:30" ht="16" x14ac:dyDescent="0.2">
      <c r="A6" s="2" t="s">
        <v>21</v>
      </c>
      <c r="B6" s="3">
        <v>12730000</v>
      </c>
      <c r="C6" s="3">
        <v>80505000</v>
      </c>
      <c r="D6" s="3">
        <v>279885000</v>
      </c>
      <c r="E6" s="3">
        <v>130277000</v>
      </c>
      <c r="F6" s="3">
        <v>60987000</v>
      </c>
      <c r="G6" s="3">
        <v>125542000</v>
      </c>
      <c r="H6" s="3">
        <v>210460000</v>
      </c>
      <c r="I6" s="3">
        <v>275119000</v>
      </c>
      <c r="J6" s="3">
        <v>409539000</v>
      </c>
      <c r="K6" s="3">
        <v>547758000</v>
      </c>
      <c r="L6" s="3">
        <v>736300000</v>
      </c>
      <c r="M6" s="3">
        <v>904200000</v>
      </c>
      <c r="N6" s="3">
        <v>1080300000</v>
      </c>
      <c r="O6" s="4">
        <v>1148200000</v>
      </c>
      <c r="P6" s="3">
        <v>289400000</v>
      </c>
      <c r="Q6" s="3">
        <v>283300000</v>
      </c>
      <c r="R6" s="3">
        <v>266900000</v>
      </c>
      <c r="S6" s="3">
        <v>308600000</v>
      </c>
    </row>
    <row r="7" spans="1:30" ht="16" x14ac:dyDescent="0.2">
      <c r="A7" s="38" t="s">
        <v>22</v>
      </c>
      <c r="B7" s="34">
        <v>130640000</v>
      </c>
      <c r="C7" s="34">
        <v>1330121000</v>
      </c>
      <c r="D7" s="34">
        <v>1247157000</v>
      </c>
      <c r="E7" s="34">
        <v>1081698000</v>
      </c>
      <c r="F7" s="34">
        <v>519428000</v>
      </c>
      <c r="G7" s="34">
        <v>906794000</v>
      </c>
      <c r="H7" s="34">
        <v>1491717000</v>
      </c>
      <c r="I7" s="34">
        <v>2213533000</v>
      </c>
      <c r="J7" s="34">
        <v>2638058000</v>
      </c>
      <c r="K7" s="34">
        <v>3615063000</v>
      </c>
      <c r="L7" s="34">
        <v>5469383000</v>
      </c>
      <c r="M7" s="34">
        <v>6670200000</v>
      </c>
      <c r="N7" s="34">
        <v>7850400000</v>
      </c>
      <c r="O7" s="35">
        <v>8356800000</v>
      </c>
      <c r="P7" s="34">
        <v>2044900000</v>
      </c>
      <c r="Q7" s="34">
        <v>2019400000</v>
      </c>
      <c r="R7" s="34">
        <v>2107900000</v>
      </c>
      <c r="S7" s="34">
        <v>2184600000</v>
      </c>
    </row>
    <row r="8" spans="1:30" ht="16" x14ac:dyDescent="0.2">
      <c r="A8" s="33" t="s">
        <v>58</v>
      </c>
      <c r="B8" s="36">
        <v>91.12</v>
      </c>
      <c r="C8" s="36">
        <v>94.29</v>
      </c>
      <c r="D8" s="36">
        <v>81.67</v>
      </c>
      <c r="E8" s="36">
        <v>89.25</v>
      </c>
      <c r="F8" s="36">
        <v>89.49</v>
      </c>
      <c r="G8" s="36">
        <v>87.84</v>
      </c>
      <c r="H8" s="36">
        <v>87.64</v>
      </c>
      <c r="I8" s="36">
        <v>88.95</v>
      </c>
      <c r="J8" s="36">
        <v>86.56</v>
      </c>
      <c r="K8" s="36">
        <v>86.84</v>
      </c>
      <c r="L8" s="36">
        <v>88.14</v>
      </c>
      <c r="M8" s="36">
        <v>88.06</v>
      </c>
      <c r="N8" s="36">
        <v>87.9</v>
      </c>
      <c r="O8" s="37">
        <v>87.92</v>
      </c>
      <c r="P8" s="36">
        <v>87.6</v>
      </c>
      <c r="Q8" s="36">
        <v>87.7</v>
      </c>
      <c r="R8" s="36">
        <v>88.76</v>
      </c>
      <c r="S8" s="36">
        <v>87.62</v>
      </c>
    </row>
    <row r="9" spans="1:30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ht="16" x14ac:dyDescent="0.2">
      <c r="A10" s="2" t="s">
        <v>25</v>
      </c>
      <c r="B10" s="3">
        <v>825216000</v>
      </c>
      <c r="C10" s="3">
        <v>1108427000</v>
      </c>
      <c r="D10" s="3">
        <v>1242981000</v>
      </c>
      <c r="E10" s="3">
        <v>1281125000</v>
      </c>
      <c r="F10" s="3">
        <v>1160915000</v>
      </c>
      <c r="G10" s="3">
        <v>1373250000</v>
      </c>
      <c r="H10" s="3">
        <v>1480519000</v>
      </c>
      <c r="I10" s="3">
        <v>1820704000</v>
      </c>
      <c r="J10" s="3">
        <v>1974092000</v>
      </c>
      <c r="K10" s="3">
        <v>2413038000</v>
      </c>
      <c r="L10" s="3">
        <v>2599993000</v>
      </c>
      <c r="M10" s="3">
        <v>3891200000</v>
      </c>
      <c r="N10" s="3">
        <v>3485000000</v>
      </c>
      <c r="O10" s="4">
        <v>3885300000</v>
      </c>
      <c r="P10" s="3">
        <v>891800000</v>
      </c>
      <c r="Q10" s="3">
        <v>961500000</v>
      </c>
      <c r="R10" s="3">
        <v>983700000</v>
      </c>
      <c r="S10" s="3">
        <v>1048300000</v>
      </c>
    </row>
    <row r="11" spans="1:30" ht="16" x14ac:dyDescent="0.2">
      <c r="A11" s="2" t="s">
        <v>26</v>
      </c>
      <c r="B11" s="3">
        <v>187800000</v>
      </c>
      <c r="C11" s="3">
        <v>400721000</v>
      </c>
      <c r="D11" s="3">
        <v>436796000</v>
      </c>
      <c r="E11" s="3">
        <v>362342000</v>
      </c>
      <c r="F11" s="3">
        <v>305409000</v>
      </c>
      <c r="G11" s="3">
        <v>377080000</v>
      </c>
      <c r="H11" s="3">
        <v>432829000</v>
      </c>
      <c r="I11" s="3">
        <v>496079000</v>
      </c>
      <c r="J11" s="3">
        <v>557616000</v>
      </c>
      <c r="K11" s="3">
        <v>658498000</v>
      </c>
      <c r="L11" s="3">
        <v>770456000</v>
      </c>
      <c r="M11" s="3">
        <v>840100000</v>
      </c>
      <c r="N11" s="3">
        <v>944700000</v>
      </c>
      <c r="O11" s="4">
        <v>1017900000</v>
      </c>
      <c r="P11" s="3">
        <v>246800000</v>
      </c>
      <c r="Q11" s="3">
        <v>267400000</v>
      </c>
      <c r="R11" s="3">
        <v>241100000</v>
      </c>
      <c r="S11" s="3">
        <v>262600000</v>
      </c>
    </row>
    <row r="12" spans="1:30" ht="19" x14ac:dyDescent="0.25">
      <c r="A12" s="14" t="s">
        <v>192</v>
      </c>
      <c r="B12" s="11">
        <f t="shared" ref="B12:S12" si="1">B11/B2</f>
        <v>1.3098974680895585</v>
      </c>
      <c r="C12" s="11">
        <f t="shared" si="1"/>
        <v>0.28407317035131918</v>
      </c>
      <c r="D12" s="11">
        <f t="shared" si="1"/>
        <v>0.28604059351347244</v>
      </c>
      <c r="E12" s="11">
        <f t="shared" si="1"/>
        <v>0.29896821304069804</v>
      </c>
      <c r="F12" s="11">
        <f t="shared" si="1"/>
        <v>0.52619074283056089</v>
      </c>
      <c r="G12" s="11">
        <f t="shared" si="1"/>
        <v>0.36526867221524772</v>
      </c>
      <c r="H12" s="11">
        <f t="shared" si="1"/>
        <v>0.25427966656816536</v>
      </c>
      <c r="I12" s="11">
        <f t="shared" si="1"/>
        <v>0.19933642791358536</v>
      </c>
      <c r="J12" s="11">
        <f t="shared" si="1"/>
        <v>0.1829690736668923</v>
      </c>
      <c r="K12" s="11">
        <f t="shared" si="1"/>
        <v>0.15818551890652996</v>
      </c>
      <c r="L12" s="11">
        <f t="shared" si="1"/>
        <v>0.12415329626086283</v>
      </c>
      <c r="M12" s="11">
        <f t="shared" si="1"/>
        <v>0.11091307562315167</v>
      </c>
      <c r="N12" s="11">
        <f t="shared" si="1"/>
        <v>0.10578118176626693</v>
      </c>
      <c r="O12" s="11">
        <f t="shared" si="1"/>
        <v>0.10709100473435035</v>
      </c>
      <c r="P12" s="11">
        <f t="shared" si="1"/>
        <v>0.10572762712590499</v>
      </c>
      <c r="Q12" s="11">
        <f t="shared" si="1"/>
        <v>0.11612454944195943</v>
      </c>
      <c r="R12" s="11">
        <f t="shared" si="1"/>
        <v>0.10152433889169614</v>
      </c>
      <c r="S12" s="11">
        <f t="shared" si="1"/>
        <v>0.10532648804748918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ht="16" x14ac:dyDescent="0.2">
      <c r="A13" s="2" t="s">
        <v>27</v>
      </c>
      <c r="B13" s="3">
        <v>637416000</v>
      </c>
      <c r="C13" s="3">
        <v>707706000</v>
      </c>
      <c r="D13" s="3">
        <v>806185000</v>
      </c>
      <c r="E13" s="3">
        <v>918783000</v>
      </c>
      <c r="F13" s="3">
        <v>855506000</v>
      </c>
      <c r="G13" s="3">
        <v>996170000</v>
      </c>
      <c r="H13" s="3">
        <v>1047690000</v>
      </c>
      <c r="I13" s="3">
        <v>1324625000</v>
      </c>
      <c r="J13" s="3">
        <v>1416476000</v>
      </c>
      <c r="K13" s="3">
        <v>1754540000</v>
      </c>
      <c r="L13" s="3">
        <v>1829537000</v>
      </c>
      <c r="M13" s="3">
        <v>3051100000</v>
      </c>
      <c r="N13" s="3">
        <v>2540300000</v>
      </c>
      <c r="O13" s="4">
        <v>2867400000</v>
      </c>
      <c r="P13" s="3">
        <v>645000000</v>
      </c>
      <c r="Q13" s="3">
        <v>694100000</v>
      </c>
      <c r="R13" s="3">
        <v>742600000</v>
      </c>
      <c r="S13" s="3">
        <v>785700000</v>
      </c>
    </row>
    <row r="14" spans="1:30" ht="19" x14ac:dyDescent="0.25">
      <c r="A14" s="14" t="s">
        <v>193</v>
      </c>
      <c r="B14" s="11">
        <f t="shared" ref="B14:S14" si="2">B13/B2</f>
        <v>4.4459510357815439</v>
      </c>
      <c r="C14" s="11">
        <f t="shared" si="2"/>
        <v>0.50169640996266907</v>
      </c>
      <c r="D14" s="11">
        <f t="shared" si="2"/>
        <v>0.52793898268678918</v>
      </c>
      <c r="E14" s="11">
        <f t="shared" si="2"/>
        <v>0.75808741929495249</v>
      </c>
      <c r="F14" s="11">
        <f t="shared" si="2"/>
        <v>1.4739557041082674</v>
      </c>
      <c r="G14" s="11">
        <f t="shared" si="2"/>
        <v>0.96496683250414594</v>
      </c>
      <c r="H14" s="11">
        <f t="shared" si="2"/>
        <v>0.61550003319278779</v>
      </c>
      <c r="I14" s="11">
        <f t="shared" si="2"/>
        <v>0.53226606210912575</v>
      </c>
      <c r="J14" s="11">
        <f t="shared" si="2"/>
        <v>0.46478454992572837</v>
      </c>
      <c r="K14" s="11">
        <f t="shared" si="2"/>
        <v>0.42147860789594366</v>
      </c>
      <c r="L14" s="11">
        <f t="shared" si="2"/>
        <v>0.29481638040486435</v>
      </c>
      <c r="M14" s="11">
        <f t="shared" si="2"/>
        <v>0.40281738487536967</v>
      </c>
      <c r="N14" s="11">
        <f t="shared" si="2"/>
        <v>0.2844457881241112</v>
      </c>
      <c r="O14" s="11">
        <f t="shared" si="2"/>
        <v>0.30167280378748029</v>
      </c>
      <c r="P14" s="11">
        <f t="shared" si="2"/>
        <v>0.27631409844492993</v>
      </c>
      <c r="Q14" s="11">
        <f t="shared" si="2"/>
        <v>0.30142875754549009</v>
      </c>
      <c r="R14" s="11">
        <f t="shared" si="2"/>
        <v>0.31270001684352366</v>
      </c>
      <c r="S14" s="11">
        <f t="shared" si="2"/>
        <v>0.31513717311086153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ht="16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4" t="s">
        <v>24</v>
      </c>
      <c r="P15" s="3" t="s">
        <v>24</v>
      </c>
      <c r="Q15" s="3" t="s">
        <v>24</v>
      </c>
      <c r="R15" s="3" t="s">
        <v>24</v>
      </c>
      <c r="S15" s="3" t="s">
        <v>24</v>
      </c>
    </row>
    <row r="16" spans="1:30" ht="16" x14ac:dyDescent="0.2">
      <c r="A16" s="32" t="s">
        <v>29</v>
      </c>
      <c r="B16" s="30">
        <v>-694576000</v>
      </c>
      <c r="C16" s="30">
        <v>221694000</v>
      </c>
      <c r="D16" s="30">
        <v>4176000</v>
      </c>
      <c r="E16" s="30">
        <v>-199427000</v>
      </c>
      <c r="F16" s="30">
        <v>-641487000</v>
      </c>
      <c r="G16" s="30">
        <v>-466456000</v>
      </c>
      <c r="H16" s="30">
        <v>11198000</v>
      </c>
      <c r="I16" s="30">
        <v>392829000</v>
      </c>
      <c r="J16" s="30">
        <v>663966000</v>
      </c>
      <c r="K16" s="30">
        <v>1202025000</v>
      </c>
      <c r="L16" s="30">
        <v>2869390000</v>
      </c>
      <c r="M16" s="30">
        <v>2779000000</v>
      </c>
      <c r="N16" s="30">
        <v>4365400000</v>
      </c>
      <c r="O16" s="31">
        <v>4471500000</v>
      </c>
      <c r="P16" s="30">
        <v>1153100000</v>
      </c>
      <c r="Q16" s="30">
        <v>1057900000</v>
      </c>
      <c r="R16" s="30">
        <v>1124200000</v>
      </c>
      <c r="S16" s="30">
        <v>1136300000</v>
      </c>
    </row>
    <row r="17" spans="1:30" ht="16" x14ac:dyDescent="0.2">
      <c r="A17" s="25" t="s">
        <v>59</v>
      </c>
      <c r="B17" s="39">
        <v>-484.46</v>
      </c>
      <c r="C17" s="39">
        <v>15.72</v>
      </c>
      <c r="D17" s="39">
        <v>0.27</v>
      </c>
      <c r="E17" s="39">
        <v>-16.45</v>
      </c>
      <c r="F17" s="39">
        <v>-110.52</v>
      </c>
      <c r="G17" s="39">
        <v>-45.18</v>
      </c>
      <c r="H17" s="39">
        <v>0.66</v>
      </c>
      <c r="I17" s="39">
        <v>15.78</v>
      </c>
      <c r="J17" s="39">
        <v>21.79</v>
      </c>
      <c r="K17" s="39">
        <v>28.88</v>
      </c>
      <c r="L17" s="39">
        <v>46.24</v>
      </c>
      <c r="M17" s="39">
        <v>36.69</v>
      </c>
      <c r="N17" s="39">
        <v>48.88</v>
      </c>
      <c r="O17" s="40">
        <v>47.04</v>
      </c>
      <c r="P17" s="39">
        <v>49.4</v>
      </c>
      <c r="Q17" s="39">
        <v>45.94</v>
      </c>
      <c r="R17" s="39">
        <v>47.34</v>
      </c>
      <c r="S17" s="39">
        <v>45.58</v>
      </c>
    </row>
    <row r="18" spans="1:30" ht="19" x14ac:dyDescent="0.25">
      <c r="A18" s="15" t="s">
        <v>194</v>
      </c>
      <c r="B18" s="10"/>
      <c r="C18" s="11">
        <f>(C16/B16)-1</f>
        <v>-1.3191788947501786</v>
      </c>
      <c r="D18" s="11">
        <f>(D16/C16)-1</f>
        <v>-0.98116322498579123</v>
      </c>
      <c r="E18" s="11">
        <f>(E16/D16)-1</f>
        <v>-48.75550766283525</v>
      </c>
      <c r="F18" s="11">
        <f t="shared" ref="F18:N18" si="3">(F16/E16)-1</f>
        <v>2.2166507042677273</v>
      </c>
      <c r="G18" s="11">
        <f t="shared" si="3"/>
        <v>-0.27285198297081625</v>
      </c>
      <c r="H18" s="11">
        <f t="shared" si="3"/>
        <v>-1.024006551528976</v>
      </c>
      <c r="I18" s="11">
        <f t="shared" si="3"/>
        <v>34.080282193248792</v>
      </c>
      <c r="J18" s="11">
        <f t="shared" si="3"/>
        <v>0.69021635368060918</v>
      </c>
      <c r="K18" s="11">
        <f t="shared" si="3"/>
        <v>0.81037131419379915</v>
      </c>
      <c r="L18" s="11">
        <f t="shared" si="3"/>
        <v>1.3871300513716438</v>
      </c>
      <c r="M18" s="11">
        <f t="shared" si="3"/>
        <v>-3.1501468953331502E-2</v>
      </c>
      <c r="N18" s="11">
        <f t="shared" si="3"/>
        <v>0.57085282475710697</v>
      </c>
      <c r="O18" s="11">
        <f>(O16/N16)-1</f>
        <v>2.4304760159435501E-2</v>
      </c>
      <c r="P18" s="11"/>
      <c r="Q18" s="11">
        <f>(Q16/P16)-1</f>
        <v>-8.2560055502558294E-2</v>
      </c>
      <c r="R18" s="11">
        <f>(R16/Q16)-1</f>
        <v>6.2671329993383207E-2</v>
      </c>
      <c r="S18" s="11">
        <f>(S16/R16)-1</f>
        <v>1.0763209393346296E-2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ht="16" x14ac:dyDescent="0.2">
      <c r="A19" s="2" t="s">
        <v>30</v>
      </c>
      <c r="B19" s="3">
        <v>60050000</v>
      </c>
      <c r="C19" s="3">
        <v>161249000</v>
      </c>
      <c r="D19" s="3">
        <v>16557000</v>
      </c>
      <c r="E19" s="3">
        <v>776690000</v>
      </c>
      <c r="F19" s="3">
        <v>93388000</v>
      </c>
      <c r="G19" s="3">
        <v>93125000</v>
      </c>
      <c r="H19" s="3">
        <v>78564000</v>
      </c>
      <c r="I19" s="3">
        <v>408518000</v>
      </c>
      <c r="J19" s="3">
        <v>63725000</v>
      </c>
      <c r="K19" s="3">
        <v>-192894000</v>
      </c>
      <c r="L19" s="3">
        <v>-247408000</v>
      </c>
      <c r="M19" s="3">
        <v>48600000</v>
      </c>
      <c r="N19" s="3">
        <v>133000000</v>
      </c>
      <c r="O19" s="4">
        <v>165300000</v>
      </c>
      <c r="P19" s="3">
        <v>-23300000</v>
      </c>
      <c r="Q19" s="3">
        <v>-18900000</v>
      </c>
      <c r="R19" s="3">
        <v>232700000</v>
      </c>
      <c r="S19" s="3">
        <v>-25200000</v>
      </c>
    </row>
    <row r="20" spans="1:30" ht="16" x14ac:dyDescent="0.2">
      <c r="A20" s="2" t="s">
        <v>31</v>
      </c>
      <c r="B20" s="3">
        <v>17320000</v>
      </c>
      <c r="C20" s="3">
        <v>34696000</v>
      </c>
      <c r="D20" s="3">
        <v>12773000</v>
      </c>
      <c r="E20" s="3">
        <v>22730000</v>
      </c>
      <c r="F20" s="3">
        <v>72863000</v>
      </c>
      <c r="G20" s="3">
        <v>84206000</v>
      </c>
      <c r="H20" s="3">
        <v>81432000</v>
      </c>
      <c r="I20" s="3">
        <v>45802000</v>
      </c>
      <c r="J20" s="3">
        <v>-4233000</v>
      </c>
      <c r="K20" s="3">
        <v>-5176000</v>
      </c>
      <c r="L20" s="3">
        <v>35912000</v>
      </c>
      <c r="M20" s="3">
        <v>56600000</v>
      </c>
      <c r="N20" s="3">
        <v>-89800000</v>
      </c>
      <c r="O20" s="4">
        <v>-351600000</v>
      </c>
      <c r="P20" s="3">
        <v>-32500000</v>
      </c>
      <c r="Q20" s="3">
        <v>-74400000</v>
      </c>
      <c r="R20" s="3">
        <v>-111200000</v>
      </c>
      <c r="S20" s="3">
        <v>-133500000</v>
      </c>
    </row>
    <row r="21" spans="1:30" ht="16" x14ac:dyDescent="0.2">
      <c r="A21" s="2" t="s">
        <v>32</v>
      </c>
      <c r="B21" s="3">
        <v>19275000</v>
      </c>
      <c r="C21" s="3">
        <v>36574000</v>
      </c>
      <c r="D21" s="3">
        <v>14713000</v>
      </c>
      <c r="E21" s="3">
        <v>22730000</v>
      </c>
      <c r="F21" s="3">
        <v>72863000</v>
      </c>
      <c r="G21" s="3">
        <v>84206000</v>
      </c>
      <c r="H21" s="3">
        <v>81432000</v>
      </c>
      <c r="I21" s="3">
        <v>57550000</v>
      </c>
      <c r="J21" s="3">
        <v>34119000</v>
      </c>
      <c r="K21" s="3">
        <v>58502000</v>
      </c>
      <c r="L21" s="3">
        <v>58151000</v>
      </c>
      <c r="M21" s="3">
        <v>61500000</v>
      </c>
      <c r="N21" s="3">
        <v>54800000</v>
      </c>
      <c r="O21" s="4">
        <v>47900000</v>
      </c>
      <c r="P21" s="3">
        <v>13700000</v>
      </c>
      <c r="Q21" s="3">
        <v>11600000</v>
      </c>
      <c r="R21" s="3">
        <v>11400000</v>
      </c>
      <c r="S21" s="3">
        <v>11200000</v>
      </c>
    </row>
    <row r="22" spans="1:30" ht="16" x14ac:dyDescent="0.2">
      <c r="A22" s="2" t="s">
        <v>33</v>
      </c>
      <c r="B22" s="3">
        <v>1955000</v>
      </c>
      <c r="C22" s="3">
        <v>1878000</v>
      </c>
      <c r="D22" s="3">
        <v>1940000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11748000</v>
      </c>
      <c r="J22" s="3">
        <v>38352000</v>
      </c>
      <c r="K22" s="3">
        <v>63678000</v>
      </c>
      <c r="L22" s="3">
        <v>22239000</v>
      </c>
      <c r="M22" s="3">
        <v>4900000</v>
      </c>
      <c r="N22" s="3">
        <v>144600000</v>
      </c>
      <c r="O22" s="4">
        <v>399500000</v>
      </c>
      <c r="P22" s="3">
        <v>46200000</v>
      </c>
      <c r="Q22" s="3">
        <v>86000000</v>
      </c>
      <c r="R22" s="3">
        <v>122600000</v>
      </c>
      <c r="S22" s="3">
        <v>144700000</v>
      </c>
    </row>
    <row r="23" spans="1:30" ht="16" x14ac:dyDescent="0.2">
      <c r="A23" s="2" t="s">
        <v>34</v>
      </c>
      <c r="B23" s="3">
        <v>42730000</v>
      </c>
      <c r="C23" s="3">
        <v>126553000</v>
      </c>
      <c r="D23" s="3">
        <v>3784000</v>
      </c>
      <c r="E23" s="3">
        <v>753960000</v>
      </c>
      <c r="F23" s="3">
        <v>20525000</v>
      </c>
      <c r="G23" s="3">
        <v>8919000</v>
      </c>
      <c r="H23" s="3">
        <v>-2868000</v>
      </c>
      <c r="I23" s="3">
        <v>362716000</v>
      </c>
      <c r="J23" s="3">
        <v>67958000</v>
      </c>
      <c r="K23" s="3">
        <v>-187718000</v>
      </c>
      <c r="L23" s="3">
        <v>-283320000</v>
      </c>
      <c r="M23" s="3">
        <v>-8000000</v>
      </c>
      <c r="N23" s="3">
        <v>222800000</v>
      </c>
      <c r="O23" s="4">
        <v>516900000</v>
      </c>
      <c r="P23" s="3">
        <v>9200000</v>
      </c>
      <c r="Q23" s="3">
        <v>55500000</v>
      </c>
      <c r="R23" s="3">
        <v>343900000</v>
      </c>
      <c r="S23" s="3">
        <v>108300000</v>
      </c>
    </row>
    <row r="24" spans="1:30" ht="16" x14ac:dyDescent="0.2">
      <c r="A24" s="2" t="s">
        <v>35</v>
      </c>
      <c r="B24" s="3">
        <v>-754626000</v>
      </c>
      <c r="C24" s="3">
        <v>60445000</v>
      </c>
      <c r="D24" s="3">
        <v>-12381000</v>
      </c>
      <c r="E24" s="3">
        <v>-976117000</v>
      </c>
      <c r="F24" s="3">
        <v>-734875000</v>
      </c>
      <c r="G24" s="3">
        <v>-559581000</v>
      </c>
      <c r="H24" s="3">
        <v>-67366000</v>
      </c>
      <c r="I24" s="3">
        <v>-15689000</v>
      </c>
      <c r="J24" s="3">
        <v>600241000</v>
      </c>
      <c r="K24" s="3">
        <v>1394919000</v>
      </c>
      <c r="L24" s="3">
        <v>3116798000</v>
      </c>
      <c r="M24" s="3">
        <v>2730400000</v>
      </c>
      <c r="N24" s="3">
        <v>4232400000</v>
      </c>
      <c r="O24" s="4">
        <v>4306200000</v>
      </c>
      <c r="P24" s="3">
        <v>1176400000</v>
      </c>
      <c r="Q24" s="3">
        <v>1076800000</v>
      </c>
      <c r="R24" s="3">
        <v>891500000</v>
      </c>
      <c r="S24" s="3">
        <v>1161500000</v>
      </c>
    </row>
    <row r="25" spans="1:30" ht="16" x14ac:dyDescent="0.2">
      <c r="A25" s="2" t="s">
        <v>36</v>
      </c>
      <c r="B25" s="3" t="s">
        <v>24</v>
      </c>
      <c r="C25" s="3">
        <v>19266000</v>
      </c>
      <c r="D25" s="3">
        <v>38754000</v>
      </c>
      <c r="E25" s="3">
        <v>-288567000</v>
      </c>
      <c r="F25" s="3">
        <v>6958000</v>
      </c>
      <c r="G25" s="3">
        <v>30381000</v>
      </c>
      <c r="H25" s="3">
        <v>16665000</v>
      </c>
      <c r="I25" s="3">
        <v>-107324000</v>
      </c>
      <c r="J25" s="3">
        <v>-1486862000</v>
      </c>
      <c r="K25" s="3">
        <v>218109000</v>
      </c>
      <c r="L25" s="3">
        <v>405151000</v>
      </c>
      <c r="M25" s="3">
        <v>388300000</v>
      </c>
      <c r="N25" s="3">
        <v>910400000</v>
      </c>
      <c r="O25" s="4">
        <v>941300000</v>
      </c>
      <c r="P25" s="3">
        <v>245900000</v>
      </c>
      <c r="Q25" s="3">
        <v>257900000</v>
      </c>
      <c r="R25" s="3">
        <v>191700000</v>
      </c>
      <c r="S25" s="3">
        <v>245800000</v>
      </c>
    </row>
    <row r="26" spans="1:30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ht="16" x14ac:dyDescent="0.2">
      <c r="A27" s="2" t="s">
        <v>38</v>
      </c>
      <c r="B27" s="3">
        <v>-754626000</v>
      </c>
      <c r="C27" s="3">
        <v>41179000</v>
      </c>
      <c r="D27" s="3">
        <v>-51135000</v>
      </c>
      <c r="E27" s="3">
        <v>-687550000</v>
      </c>
      <c r="F27" s="3">
        <v>-741833000</v>
      </c>
      <c r="G27" s="3">
        <v>-589962000</v>
      </c>
      <c r="H27" s="3">
        <v>-84031000</v>
      </c>
      <c r="I27" s="3">
        <v>91635000</v>
      </c>
      <c r="J27" s="3">
        <v>2087103000</v>
      </c>
      <c r="K27" s="3">
        <v>1176810000</v>
      </c>
      <c r="L27" s="3">
        <v>2711647000</v>
      </c>
      <c r="M27" s="3">
        <v>2342100000</v>
      </c>
      <c r="N27" s="3">
        <v>3322000000</v>
      </c>
      <c r="O27" s="4">
        <v>3364900000</v>
      </c>
      <c r="P27" s="3">
        <v>930500000</v>
      </c>
      <c r="Q27" s="3">
        <v>818900000</v>
      </c>
      <c r="R27" s="3">
        <v>699800000</v>
      </c>
      <c r="S27" s="3">
        <v>915700000</v>
      </c>
    </row>
    <row r="28" spans="1:30" ht="16" x14ac:dyDescent="0.2">
      <c r="A28" s="2" t="s">
        <v>39</v>
      </c>
      <c r="B28" s="3" t="s">
        <v>24</v>
      </c>
      <c r="C28" s="3">
        <v>23210000</v>
      </c>
      <c r="D28" s="3">
        <v>111794000</v>
      </c>
      <c r="E28" s="3">
        <v>-485044000</v>
      </c>
      <c r="F28" s="3">
        <v>-7468000</v>
      </c>
      <c r="G28" s="3">
        <v>-63694000</v>
      </c>
      <c r="H28" s="3">
        <v>56042000</v>
      </c>
      <c r="I28" s="3">
        <v>-343698000</v>
      </c>
      <c r="J28" s="3">
        <v>-19586000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30" ht="16" x14ac:dyDescent="0.2">
      <c r="A29" s="2" t="s">
        <v>40</v>
      </c>
      <c r="B29" s="3" t="s">
        <v>24</v>
      </c>
      <c r="C29" s="3" t="s">
        <v>24</v>
      </c>
      <c r="D29" s="3">
        <v>-83406000</v>
      </c>
      <c r="E29" s="3">
        <v>-183928000</v>
      </c>
      <c r="F29" s="3">
        <v>-912000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ht="16" x14ac:dyDescent="0.2">
      <c r="A30" s="2" t="s">
        <v>41</v>
      </c>
      <c r="B30" s="3" t="s">
        <v>24</v>
      </c>
      <c r="C30" s="3">
        <v>23210000</v>
      </c>
      <c r="D30" s="3">
        <v>195200000</v>
      </c>
      <c r="E30" s="3">
        <v>-301116000</v>
      </c>
      <c r="F30" s="3">
        <v>-6556000</v>
      </c>
      <c r="G30" s="3">
        <v>-63694000</v>
      </c>
      <c r="H30" s="3">
        <v>56042000</v>
      </c>
      <c r="I30" s="3">
        <v>-343698000</v>
      </c>
      <c r="J30" s="3">
        <v>-19586000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30" ht="16" x14ac:dyDescent="0.2">
      <c r="A31" s="2" t="s">
        <v>42</v>
      </c>
      <c r="B31" s="3">
        <v>-754626000</v>
      </c>
      <c r="C31" s="3">
        <v>17969000</v>
      </c>
      <c r="D31" s="3">
        <v>-162929000</v>
      </c>
      <c r="E31" s="3">
        <v>-202506000</v>
      </c>
      <c r="F31" s="3">
        <v>-734365000</v>
      </c>
      <c r="G31" s="3">
        <v>-526268000</v>
      </c>
      <c r="H31" s="3">
        <v>-140073000</v>
      </c>
      <c r="I31" s="3">
        <v>435333000</v>
      </c>
      <c r="J31" s="3">
        <v>2106689000</v>
      </c>
      <c r="K31" s="3">
        <v>1176810000</v>
      </c>
      <c r="L31" s="3">
        <v>2711647000</v>
      </c>
      <c r="M31" s="3">
        <v>2342100000</v>
      </c>
      <c r="N31" s="3">
        <v>3322000000</v>
      </c>
      <c r="O31" s="4">
        <v>3364900000</v>
      </c>
      <c r="P31" s="3">
        <v>930500000</v>
      </c>
      <c r="Q31" s="3">
        <v>818900000</v>
      </c>
      <c r="R31" s="3">
        <v>699800000</v>
      </c>
      <c r="S31" s="3">
        <v>915700000</v>
      </c>
    </row>
    <row r="32" spans="1:30" ht="16" x14ac:dyDescent="0.2">
      <c r="A32" s="2" t="s">
        <v>43</v>
      </c>
      <c r="B32" s="3" t="s">
        <v>24</v>
      </c>
      <c r="C32" s="3">
        <v>-11605000</v>
      </c>
      <c r="D32" s="3">
        <v>-55897000</v>
      </c>
      <c r="E32" s="3">
        <v>242522000</v>
      </c>
      <c r="F32" s="3">
        <v>4190000</v>
      </c>
      <c r="G32" s="3">
        <v>31847000</v>
      </c>
      <c r="H32" s="3">
        <v>-28021000</v>
      </c>
      <c r="I32" s="3">
        <v>171849000</v>
      </c>
      <c r="J32" s="3">
        <v>9793000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30" ht="16" x14ac:dyDescent="0.2">
      <c r="A33" s="32" t="s">
        <v>44</v>
      </c>
      <c r="B33" s="30">
        <v>-754626000</v>
      </c>
      <c r="C33" s="30">
        <v>29574000</v>
      </c>
      <c r="D33" s="30">
        <v>-107032000</v>
      </c>
      <c r="E33" s="30">
        <v>-445028000</v>
      </c>
      <c r="F33" s="30">
        <v>-738555000</v>
      </c>
      <c r="G33" s="30">
        <v>-558115000</v>
      </c>
      <c r="H33" s="30">
        <v>-112052000</v>
      </c>
      <c r="I33" s="30">
        <v>263484000</v>
      </c>
      <c r="J33" s="30">
        <v>2096896000</v>
      </c>
      <c r="K33" s="30">
        <v>1176810000</v>
      </c>
      <c r="L33" s="30">
        <v>2711647000</v>
      </c>
      <c r="M33" s="30">
        <v>2342100000</v>
      </c>
      <c r="N33" s="30">
        <v>3322000000</v>
      </c>
      <c r="O33" s="31">
        <v>3364900000</v>
      </c>
      <c r="P33" s="30">
        <v>930500000</v>
      </c>
      <c r="Q33" s="30">
        <v>818900000</v>
      </c>
      <c r="R33" s="30">
        <v>699800000</v>
      </c>
      <c r="S33" s="30">
        <v>915700000</v>
      </c>
    </row>
    <row r="34" spans="1:30" ht="16" x14ac:dyDescent="0.2">
      <c r="A34" s="25" t="s">
        <v>60</v>
      </c>
      <c r="B34" s="39">
        <v>-526.35</v>
      </c>
      <c r="C34" s="39">
        <v>2.1</v>
      </c>
      <c r="D34" s="39">
        <v>-7.01</v>
      </c>
      <c r="E34" s="39">
        <v>-36.72</v>
      </c>
      <c r="F34" s="39">
        <v>-127.25</v>
      </c>
      <c r="G34" s="39">
        <v>-54.06</v>
      </c>
      <c r="H34" s="39">
        <v>-6.58</v>
      </c>
      <c r="I34" s="39">
        <v>10.59</v>
      </c>
      <c r="J34" s="39">
        <v>68.8</v>
      </c>
      <c r="K34" s="39">
        <v>28.27</v>
      </c>
      <c r="L34" s="39">
        <v>43.7</v>
      </c>
      <c r="M34" s="39">
        <v>30.92</v>
      </c>
      <c r="N34" s="39">
        <v>37.200000000000003</v>
      </c>
      <c r="O34" s="40">
        <v>35.4</v>
      </c>
      <c r="P34" s="39">
        <v>39.86</v>
      </c>
      <c r="Q34" s="39">
        <v>35.56</v>
      </c>
      <c r="R34" s="39">
        <v>29.47</v>
      </c>
      <c r="S34" s="39">
        <v>36.729999999999997</v>
      </c>
    </row>
    <row r="35" spans="1:30" ht="19" x14ac:dyDescent="0.25">
      <c r="A35" s="16" t="s">
        <v>195</v>
      </c>
      <c r="B35" s="17"/>
      <c r="C35" s="18">
        <f>(C33/B33)-1</f>
        <v>-1.0391902743875774</v>
      </c>
      <c r="D35" s="18">
        <f>(D33/C33)-1</f>
        <v>-4.6191249070129166</v>
      </c>
      <c r="E35" s="18">
        <f>(E33/D33)-1</f>
        <v>3.1578967037895209</v>
      </c>
      <c r="F35" s="18">
        <f t="shared" ref="F35:N35" si="4">(F33/E33)-1</f>
        <v>0.65956973493802629</v>
      </c>
      <c r="G35" s="18">
        <f t="shared" si="4"/>
        <v>-0.24431491222725454</v>
      </c>
      <c r="H35" s="18">
        <f t="shared" si="4"/>
        <v>-0.79923134121104078</v>
      </c>
      <c r="I35" s="18">
        <f t="shared" si="4"/>
        <v>-3.3514439724413667</v>
      </c>
      <c r="J35" s="18">
        <f t="shared" si="4"/>
        <v>6.9583428215755037</v>
      </c>
      <c r="K35" s="18">
        <f t="shared" si="4"/>
        <v>-0.43878475613478207</v>
      </c>
      <c r="L35" s="18">
        <f t="shared" si="4"/>
        <v>1.3042351781511035</v>
      </c>
      <c r="M35" s="18">
        <f t="shared" si="4"/>
        <v>-0.13628138175802385</v>
      </c>
      <c r="N35" s="18">
        <f t="shared" si="4"/>
        <v>0.41838520985440408</v>
      </c>
      <c r="O35" s="18">
        <f>(O33/N33)-1</f>
        <v>1.2913907284768156E-2</v>
      </c>
      <c r="P35" s="18"/>
      <c r="Q35" s="18">
        <f>(Q33/P33)-1</f>
        <v>-0.11993551853842022</v>
      </c>
      <c r="R35" s="18">
        <f>(R33/Q33)-1</f>
        <v>-0.14543900354133599</v>
      </c>
      <c r="S35" s="18">
        <f>(S33/R33)-1</f>
        <v>0.30851671906258926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>
        <f t="shared" ref="B36:S36" si="5">(B16*(1-0.25))/(B126+B105+B96)</f>
        <v>-0.50043229160662617</v>
      </c>
      <c r="C36" s="20" t="e">
        <f t="shared" si="5"/>
        <v>#VALUE!</v>
      </c>
      <c r="D36" s="20">
        <f t="shared" si="5"/>
        <v>1.6306385105585405E-3</v>
      </c>
      <c r="E36" s="20">
        <f t="shared" si="5"/>
        <v>-8.2442599773458233E-2</v>
      </c>
      <c r="F36" s="20">
        <f t="shared" si="5"/>
        <v>-0.24628460404004518</v>
      </c>
      <c r="G36" s="20">
        <f t="shared" si="5"/>
        <v>-0.17489327941521268</v>
      </c>
      <c r="H36" s="20">
        <f t="shared" si="5"/>
        <v>3.3649643049747063E-3</v>
      </c>
      <c r="I36" s="20">
        <f t="shared" si="5"/>
        <v>0.11207683277362455</v>
      </c>
      <c r="J36" s="20">
        <f t="shared" si="5"/>
        <v>9.9352816926277426E-2</v>
      </c>
      <c r="K36" s="20">
        <f t="shared" si="5"/>
        <v>0.13469761574490491</v>
      </c>
      <c r="L36" s="20">
        <f t="shared" si="5"/>
        <v>0.23113586750763232</v>
      </c>
      <c r="M36" s="20">
        <f t="shared" si="5"/>
        <v>0.19472420494039389</v>
      </c>
      <c r="N36" s="20">
        <f t="shared" si="5"/>
        <v>0.22620684413798822</v>
      </c>
      <c r="O36" s="20">
        <f t="shared" si="5"/>
        <v>0.20653198093337768</v>
      </c>
      <c r="P36" s="20">
        <f t="shared" si="5"/>
        <v>6.4006113265638417E-2</v>
      </c>
      <c r="Q36" s="20">
        <f t="shared" si="5"/>
        <v>5.4818394743569372E-2</v>
      </c>
      <c r="R36" s="20">
        <f t="shared" si="5"/>
        <v>5.5392044148080022E-2</v>
      </c>
      <c r="S36" s="20">
        <f t="shared" si="5"/>
        <v>5.2484018771015779E-2</v>
      </c>
    </row>
    <row r="37" spans="1:30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ht="16" x14ac:dyDescent="0.2">
      <c r="A39" s="2" t="s">
        <v>47</v>
      </c>
      <c r="B39" s="3">
        <v>-754626000</v>
      </c>
      <c r="C39" s="3">
        <v>29574000</v>
      </c>
      <c r="D39" s="3">
        <v>-107032000</v>
      </c>
      <c r="E39" s="3">
        <v>-445028000</v>
      </c>
      <c r="F39" s="3">
        <v>-738555000</v>
      </c>
      <c r="G39" s="3">
        <v>-558115000</v>
      </c>
      <c r="H39" s="3">
        <v>-112052000</v>
      </c>
      <c r="I39" s="3">
        <v>263484000</v>
      </c>
      <c r="J39" s="3">
        <v>2096896000</v>
      </c>
      <c r="K39" s="3">
        <v>1176810000</v>
      </c>
      <c r="L39" s="3">
        <v>2711647000</v>
      </c>
      <c r="M39" s="3">
        <v>2342100000</v>
      </c>
      <c r="N39" s="3">
        <v>3322000000</v>
      </c>
      <c r="O39" s="4">
        <v>3364900000</v>
      </c>
      <c r="P39" s="3">
        <v>930500000</v>
      </c>
      <c r="Q39" s="3">
        <v>818900000</v>
      </c>
      <c r="R39" s="3">
        <v>699800000</v>
      </c>
      <c r="S39" s="3">
        <v>915700000</v>
      </c>
    </row>
    <row r="40" spans="1:30" ht="16" x14ac:dyDescent="0.2">
      <c r="A40" s="2" t="s">
        <v>48</v>
      </c>
      <c r="B40" s="3">
        <v>200402000</v>
      </c>
      <c r="C40" s="3">
        <v>204891000</v>
      </c>
      <c r="D40" s="3">
        <v>211946000</v>
      </c>
      <c r="E40" s="3">
        <v>224906000</v>
      </c>
      <c r="F40" s="3">
        <v>235307000</v>
      </c>
      <c r="G40" s="3">
        <v>241312000</v>
      </c>
      <c r="H40" s="3">
        <v>244685000</v>
      </c>
      <c r="I40" s="3">
        <v>248858000</v>
      </c>
      <c r="J40" s="3">
        <v>254292000</v>
      </c>
      <c r="K40" s="3">
        <v>256728000</v>
      </c>
      <c r="L40" s="3">
        <v>259841000</v>
      </c>
      <c r="M40" s="3">
        <v>257700000</v>
      </c>
      <c r="N40" s="3">
        <v>256100000</v>
      </c>
      <c r="O40" s="4">
        <v>257125000</v>
      </c>
      <c r="P40" s="3">
        <v>256500000</v>
      </c>
      <c r="Q40" s="3">
        <v>256900000</v>
      </c>
      <c r="R40" s="3">
        <v>257400000</v>
      </c>
      <c r="S40" s="3">
        <v>257700000</v>
      </c>
    </row>
    <row r="41" spans="1:30" ht="16" x14ac:dyDescent="0.2">
      <c r="A41" s="2" t="s">
        <v>49</v>
      </c>
      <c r="B41" s="5">
        <v>-3.77</v>
      </c>
      <c r="C41" s="5">
        <v>0.14000000000000001</v>
      </c>
      <c r="D41" s="5">
        <v>-0.5</v>
      </c>
      <c r="E41" s="5">
        <v>-1.98</v>
      </c>
      <c r="F41" s="5">
        <v>-3.14</v>
      </c>
      <c r="G41" s="5">
        <v>-2.31</v>
      </c>
      <c r="H41" s="5">
        <v>-0.46</v>
      </c>
      <c r="I41" s="5">
        <v>1.06</v>
      </c>
      <c r="J41" s="5">
        <v>8.25</v>
      </c>
      <c r="K41" s="5">
        <v>4.58</v>
      </c>
      <c r="L41" s="5">
        <v>10.44</v>
      </c>
      <c r="M41" s="5">
        <v>9.09</v>
      </c>
      <c r="N41" s="5">
        <v>12.97</v>
      </c>
      <c r="O41" s="6">
        <v>13.09</v>
      </c>
      <c r="P41" s="5">
        <v>3.63</v>
      </c>
      <c r="Q41" s="5">
        <v>3.19</v>
      </c>
      <c r="R41" s="5">
        <v>2.72</v>
      </c>
      <c r="S41" s="5">
        <v>3.55</v>
      </c>
    </row>
    <row r="42" spans="1:30" ht="16" x14ac:dyDescent="0.2">
      <c r="A42" s="2" t="s">
        <v>50</v>
      </c>
      <c r="B42" s="5">
        <v>-3.77</v>
      </c>
      <c r="C42" s="5">
        <v>0.2</v>
      </c>
      <c r="D42" s="5">
        <v>-0.24</v>
      </c>
      <c r="E42" s="5">
        <v>-3.06</v>
      </c>
      <c r="F42" s="5">
        <v>-3.15</v>
      </c>
      <c r="G42" s="5">
        <v>-2.44</v>
      </c>
      <c r="H42" s="5">
        <v>-0.34</v>
      </c>
      <c r="I42" s="5">
        <v>0.37</v>
      </c>
      <c r="J42" s="5">
        <v>8.2100000000000009</v>
      </c>
      <c r="K42" s="5">
        <v>4.58</v>
      </c>
      <c r="L42" s="5">
        <v>10.44</v>
      </c>
      <c r="M42" s="5">
        <v>9.09</v>
      </c>
      <c r="N42" s="5">
        <v>12.97</v>
      </c>
      <c r="O42" s="6">
        <v>13.09</v>
      </c>
      <c r="P42" s="5">
        <v>3.63</v>
      </c>
      <c r="Q42" s="5">
        <v>3.19</v>
      </c>
      <c r="R42" s="5">
        <v>2.72</v>
      </c>
      <c r="S42" s="5">
        <v>3.55</v>
      </c>
    </row>
    <row r="43" spans="1:30" ht="16" x14ac:dyDescent="0.2">
      <c r="A43" s="2" t="s">
        <v>51</v>
      </c>
      <c r="B43" s="3">
        <v>200402000</v>
      </c>
      <c r="C43" s="3">
        <v>208807000</v>
      </c>
      <c r="D43" s="3">
        <v>211946000</v>
      </c>
      <c r="E43" s="3">
        <v>224906000</v>
      </c>
      <c r="F43" s="3">
        <v>235307000</v>
      </c>
      <c r="G43" s="3">
        <v>241312000</v>
      </c>
      <c r="H43" s="3">
        <v>244685000</v>
      </c>
      <c r="I43" s="3">
        <v>253225000</v>
      </c>
      <c r="J43" s="3">
        <v>259185000</v>
      </c>
      <c r="K43" s="3">
        <v>260673000</v>
      </c>
      <c r="L43" s="3">
        <v>263396000</v>
      </c>
      <c r="M43" s="3">
        <v>259900000</v>
      </c>
      <c r="N43" s="3">
        <v>259100000</v>
      </c>
      <c r="O43" s="4">
        <v>260125000</v>
      </c>
      <c r="P43" s="3">
        <v>259500000</v>
      </c>
      <c r="Q43" s="3">
        <v>260300000</v>
      </c>
      <c r="R43" s="3">
        <v>260300000</v>
      </c>
      <c r="S43" s="3">
        <v>260400000</v>
      </c>
    </row>
    <row r="44" spans="1:30" ht="16" x14ac:dyDescent="0.2">
      <c r="A44" s="2" t="s">
        <v>52</v>
      </c>
      <c r="B44" s="5">
        <v>-3.77</v>
      </c>
      <c r="C44" s="5">
        <v>0.14000000000000001</v>
      </c>
      <c r="D44" s="5">
        <v>-0.5</v>
      </c>
      <c r="E44" s="5">
        <v>-1.98</v>
      </c>
      <c r="F44" s="5">
        <v>-3.14</v>
      </c>
      <c r="G44" s="5">
        <v>-2.31</v>
      </c>
      <c r="H44" s="5">
        <v>-0.46</v>
      </c>
      <c r="I44" s="5">
        <v>1.04</v>
      </c>
      <c r="J44" s="5">
        <v>8.09</v>
      </c>
      <c r="K44" s="5">
        <v>4.51</v>
      </c>
      <c r="L44" s="5">
        <v>10.29</v>
      </c>
      <c r="M44" s="5">
        <v>9.01</v>
      </c>
      <c r="N44" s="5">
        <v>12.82</v>
      </c>
      <c r="O44" s="6">
        <v>12.94</v>
      </c>
      <c r="P44" s="5">
        <v>3.59</v>
      </c>
      <c r="Q44" s="5">
        <v>3.15</v>
      </c>
      <c r="R44" s="5">
        <v>2.69</v>
      </c>
      <c r="S44" s="5">
        <v>3.52</v>
      </c>
    </row>
    <row r="45" spans="1:30" ht="16" x14ac:dyDescent="0.2">
      <c r="A45" s="2" t="s">
        <v>53</v>
      </c>
      <c r="B45" s="5">
        <v>-3.77</v>
      </c>
      <c r="C45" s="5">
        <v>0.2</v>
      </c>
      <c r="D45" s="5">
        <v>-0.24</v>
      </c>
      <c r="E45" s="5">
        <v>-3.06</v>
      </c>
      <c r="F45" s="5">
        <v>-3.15</v>
      </c>
      <c r="G45" s="5">
        <v>-2.44</v>
      </c>
      <c r="H45" s="5">
        <v>-0.34</v>
      </c>
      <c r="I45" s="5">
        <v>0.36</v>
      </c>
      <c r="J45" s="5">
        <v>8.0500000000000007</v>
      </c>
      <c r="K45" s="5">
        <v>4.51</v>
      </c>
      <c r="L45" s="5">
        <v>10.29</v>
      </c>
      <c r="M45" s="5">
        <v>9.01</v>
      </c>
      <c r="N45" s="5">
        <v>12.82</v>
      </c>
      <c r="O45" s="6">
        <v>12.94</v>
      </c>
      <c r="P45" s="5">
        <v>3.59</v>
      </c>
      <c r="Q45" s="5">
        <v>3.15</v>
      </c>
      <c r="R45" s="5">
        <v>2.69</v>
      </c>
      <c r="S45" s="5">
        <v>3.52</v>
      </c>
    </row>
    <row r="46" spans="1:30" ht="16" x14ac:dyDescent="0.2">
      <c r="A46" s="2" t="s">
        <v>54</v>
      </c>
      <c r="B46" s="3">
        <v>-664117000</v>
      </c>
      <c r="C46" s="3">
        <v>256735000</v>
      </c>
      <c r="D46" s="3">
        <v>42367000</v>
      </c>
      <c r="E46" s="3">
        <v>-151062000</v>
      </c>
      <c r="F46" s="3">
        <v>-578230000</v>
      </c>
      <c r="G46" s="3">
        <v>-404113000</v>
      </c>
      <c r="H46" s="3">
        <v>72596000</v>
      </c>
      <c r="I46" s="3">
        <v>454226000</v>
      </c>
      <c r="J46" s="3">
        <v>736386000</v>
      </c>
      <c r="K46" s="3">
        <v>1308966000</v>
      </c>
      <c r="L46" s="3">
        <v>2978905000</v>
      </c>
      <c r="M46" s="3">
        <v>2904600000</v>
      </c>
      <c r="N46" s="3">
        <v>4513700000</v>
      </c>
      <c r="O46" s="4">
        <v>4626800000</v>
      </c>
      <c r="P46" s="3">
        <v>1189800000</v>
      </c>
      <c r="Q46" s="3">
        <v>1096300000</v>
      </c>
      <c r="R46" s="3">
        <v>1163000000</v>
      </c>
      <c r="S46" s="3">
        <v>1177700000</v>
      </c>
    </row>
    <row r="47" spans="1:30" ht="16" x14ac:dyDescent="0.2">
      <c r="A47" s="2" t="s">
        <v>55</v>
      </c>
      <c r="B47" s="5">
        <v>-463.22</v>
      </c>
      <c r="C47" s="5">
        <v>18.2</v>
      </c>
      <c r="D47" s="5">
        <v>2.77</v>
      </c>
      <c r="E47" s="5">
        <v>-12.46</v>
      </c>
      <c r="F47" s="5">
        <v>-99.62</v>
      </c>
      <c r="G47" s="5">
        <v>-39.15</v>
      </c>
      <c r="H47" s="5">
        <v>4.26</v>
      </c>
      <c r="I47" s="5">
        <v>18.25</v>
      </c>
      <c r="J47" s="5">
        <v>24.16</v>
      </c>
      <c r="K47" s="5">
        <v>31.44</v>
      </c>
      <c r="L47" s="3">
        <v>48</v>
      </c>
      <c r="M47" s="5">
        <v>38.35</v>
      </c>
      <c r="N47" s="5">
        <v>50.54</v>
      </c>
      <c r="O47" s="6">
        <v>48.68</v>
      </c>
      <c r="P47" s="5">
        <v>49.71</v>
      </c>
      <c r="Q47" s="5">
        <v>50.52</v>
      </c>
      <c r="R47" s="5">
        <v>50.02</v>
      </c>
      <c r="S47" s="5">
        <v>48.68</v>
      </c>
    </row>
    <row r="48" spans="1:30" ht="16" x14ac:dyDescent="0.2">
      <c r="A48" s="2" t="s">
        <v>56</v>
      </c>
      <c r="B48" s="3">
        <v>-694576000</v>
      </c>
      <c r="C48" s="3">
        <v>221694000</v>
      </c>
      <c r="D48" s="3">
        <v>4176000</v>
      </c>
      <c r="E48" s="3">
        <v>-199427000</v>
      </c>
      <c r="F48" s="3">
        <v>-641487000</v>
      </c>
      <c r="G48" s="3">
        <v>-466456000</v>
      </c>
      <c r="H48" s="3">
        <v>11198000</v>
      </c>
      <c r="I48" s="3">
        <v>392829000</v>
      </c>
      <c r="J48" s="3">
        <v>663966000</v>
      </c>
      <c r="K48" s="3">
        <v>1202025000</v>
      </c>
      <c r="L48" s="3">
        <v>2869390000</v>
      </c>
      <c r="M48" s="3">
        <v>2779000000</v>
      </c>
      <c r="N48" s="3">
        <v>4365400000</v>
      </c>
      <c r="O48" s="4">
        <v>4471500000</v>
      </c>
      <c r="P48" s="3">
        <v>1153100000</v>
      </c>
      <c r="Q48" s="3">
        <v>1057900000</v>
      </c>
      <c r="R48" s="3">
        <v>1124200000</v>
      </c>
      <c r="S48" s="3">
        <v>1136300000</v>
      </c>
    </row>
    <row r="49" spans="1:19" ht="16" x14ac:dyDescent="0.2">
      <c r="A49" s="2" t="s">
        <v>57</v>
      </c>
      <c r="B49" s="3">
        <v>-694576000</v>
      </c>
      <c r="C49" s="3">
        <v>221694000</v>
      </c>
      <c r="D49" s="3">
        <v>4176000</v>
      </c>
      <c r="E49" s="3">
        <v>-199427000</v>
      </c>
      <c r="F49" s="3">
        <v>-641487000</v>
      </c>
      <c r="G49" s="3">
        <v>-466456000</v>
      </c>
      <c r="H49" s="3">
        <v>11198000</v>
      </c>
      <c r="I49" s="3">
        <v>392829000</v>
      </c>
      <c r="J49" s="3">
        <v>663966000</v>
      </c>
      <c r="K49" s="3">
        <v>1202025000</v>
      </c>
      <c r="L49" s="3">
        <v>2869390000</v>
      </c>
      <c r="M49" s="3">
        <v>2779000000</v>
      </c>
      <c r="N49" s="3">
        <v>4365400000</v>
      </c>
      <c r="O49" s="4">
        <v>4471500000</v>
      </c>
      <c r="P49" s="3">
        <v>1153100000</v>
      </c>
      <c r="Q49" s="3">
        <v>1057900000</v>
      </c>
      <c r="R49" s="3">
        <v>1124200000</v>
      </c>
      <c r="S49" s="3">
        <v>1136300000</v>
      </c>
    </row>
    <row r="50" spans="1:19" ht="16" x14ac:dyDescent="0.2">
      <c r="A50" s="2" t="s">
        <v>61</v>
      </c>
      <c r="B50" s="3">
        <v>84784</v>
      </c>
      <c r="C50" s="3">
        <v>705313</v>
      </c>
      <c r="D50" s="3">
        <v>694110</v>
      </c>
      <c r="E50" s="3">
        <v>673319</v>
      </c>
      <c r="F50" s="3">
        <v>317167</v>
      </c>
      <c r="G50" s="3">
        <v>529403</v>
      </c>
      <c r="H50" s="3">
        <v>791710</v>
      </c>
      <c r="I50" s="3">
        <v>1082023</v>
      </c>
      <c r="J50" s="3">
        <v>1219039</v>
      </c>
      <c r="K50" s="3">
        <v>1387607</v>
      </c>
      <c r="L50" s="3">
        <v>1825201</v>
      </c>
      <c r="M50" s="3">
        <v>1942154</v>
      </c>
      <c r="N50" s="3">
        <v>1860563</v>
      </c>
      <c r="O50" s="4">
        <v>1980208</v>
      </c>
      <c r="P50" s="3">
        <v>598538</v>
      </c>
      <c r="Q50" s="3">
        <v>479729</v>
      </c>
      <c r="R50" s="3">
        <v>494750</v>
      </c>
      <c r="S50" s="3">
        <v>519417</v>
      </c>
    </row>
    <row r="51" spans="1:19" ht="16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ht="16" x14ac:dyDescent="0.2">
      <c r="A52" s="2" t="s">
        <v>63</v>
      </c>
      <c r="B52" s="3">
        <v>30459000</v>
      </c>
      <c r="C52" s="3">
        <v>35041000</v>
      </c>
      <c r="D52" s="3">
        <v>38191000</v>
      </c>
      <c r="E52" s="3">
        <v>48365000</v>
      </c>
      <c r="F52" s="3">
        <v>63257000</v>
      </c>
      <c r="G52" s="3">
        <v>62343000</v>
      </c>
      <c r="H52" s="3">
        <v>61398000</v>
      </c>
      <c r="I52" s="3">
        <v>61397000</v>
      </c>
      <c r="J52" s="3">
        <v>72420000</v>
      </c>
      <c r="K52" s="3">
        <v>106941000</v>
      </c>
      <c r="L52" s="3">
        <v>109515000</v>
      </c>
      <c r="M52" s="3">
        <v>125600000</v>
      </c>
      <c r="N52" s="3">
        <v>148300000</v>
      </c>
      <c r="O52" s="4">
        <v>155300000</v>
      </c>
      <c r="P52" s="3">
        <v>36700000</v>
      </c>
      <c r="Q52" s="3">
        <v>38400000</v>
      </c>
      <c r="R52" s="3">
        <v>38800000</v>
      </c>
      <c r="S52" s="3">
        <v>41400000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1057039000</v>
      </c>
      <c r="C55" s="3">
        <v>1331254000</v>
      </c>
      <c r="D55" s="3">
        <v>1589585000</v>
      </c>
      <c r="E55" s="3">
        <v>1588576000</v>
      </c>
      <c r="F55" s="3">
        <v>1548141000</v>
      </c>
      <c r="G55" s="3">
        <v>1355094000</v>
      </c>
      <c r="H55" s="3">
        <v>1761006000</v>
      </c>
      <c r="I55" s="3">
        <v>2483328000</v>
      </c>
      <c r="J55" s="3">
        <v>3702290000</v>
      </c>
      <c r="K55" s="3">
        <v>4609314000</v>
      </c>
      <c r="L55" s="3">
        <v>7825026000</v>
      </c>
      <c r="M55" s="3">
        <v>9014800000</v>
      </c>
      <c r="N55" s="3">
        <v>12681300000</v>
      </c>
      <c r="O55" s="4">
        <v>13872900000</v>
      </c>
      <c r="P55" s="3">
        <v>11544100000</v>
      </c>
      <c r="Q55" s="3">
        <v>12681300000</v>
      </c>
      <c r="R55" s="3">
        <v>12965700000</v>
      </c>
      <c r="S55" s="3">
        <v>13872900000</v>
      </c>
    </row>
    <row r="56" spans="1:19" ht="16" x14ac:dyDescent="0.2">
      <c r="A56" s="2" t="s">
        <v>65</v>
      </c>
      <c r="B56" s="3">
        <v>1031411000</v>
      </c>
      <c r="C56" s="3">
        <v>968922000</v>
      </c>
      <c r="D56" s="3">
        <v>1321215000</v>
      </c>
      <c r="E56" s="3">
        <v>1465076000</v>
      </c>
      <c r="F56" s="3">
        <v>1387106000</v>
      </c>
      <c r="G56" s="3">
        <v>1042462000</v>
      </c>
      <c r="H56" s="3">
        <v>1434557000</v>
      </c>
      <c r="I56" s="3">
        <v>2088666000</v>
      </c>
      <c r="J56" s="3">
        <v>3168242000</v>
      </c>
      <c r="K56" s="3">
        <v>3808294000</v>
      </c>
      <c r="L56" s="3">
        <v>6658897000</v>
      </c>
      <c r="M56" s="3">
        <v>7524900000</v>
      </c>
      <c r="N56" s="3">
        <v>10778500000</v>
      </c>
      <c r="O56" s="4">
        <v>11236300000</v>
      </c>
      <c r="P56" s="3">
        <v>9770700000</v>
      </c>
      <c r="Q56" s="3">
        <v>10778500000</v>
      </c>
      <c r="R56" s="3">
        <v>10414100000</v>
      </c>
      <c r="S56" s="3">
        <v>11236300000</v>
      </c>
    </row>
    <row r="57" spans="1:19" ht="16" x14ac:dyDescent="0.2">
      <c r="A57" s="2" t="s">
        <v>66</v>
      </c>
      <c r="B57" s="3">
        <v>243197000</v>
      </c>
      <c r="C57" s="3">
        <v>475320000</v>
      </c>
      <c r="D57" s="3">
        <v>489407000</v>
      </c>
      <c r="E57" s="3">
        <v>569299000</v>
      </c>
      <c r="F57" s="3">
        <v>625259000</v>
      </c>
      <c r="G57" s="3">
        <v>714768000</v>
      </c>
      <c r="H57" s="3">
        <v>1183945000</v>
      </c>
      <c r="I57" s="3">
        <v>1665412000</v>
      </c>
      <c r="J57" s="3">
        <v>2650134000</v>
      </c>
      <c r="K57" s="3">
        <v>3109322000</v>
      </c>
      <c r="L57" s="3">
        <v>5988187000</v>
      </c>
      <c r="M57" s="3">
        <v>6795000000</v>
      </c>
      <c r="N57" s="3">
        <v>10504000000</v>
      </c>
      <c r="O57" s="4">
        <v>10151100000</v>
      </c>
      <c r="P57" s="3">
        <v>9171500000</v>
      </c>
      <c r="Q57" s="3">
        <v>10504000000</v>
      </c>
      <c r="R57" s="3">
        <v>9289900000</v>
      </c>
      <c r="S57" s="3">
        <v>10151100000</v>
      </c>
    </row>
    <row r="58" spans="1:19" ht="16" x14ac:dyDescent="0.2">
      <c r="A58" s="2" t="s">
        <v>67</v>
      </c>
      <c r="B58" s="3">
        <v>788214000</v>
      </c>
      <c r="C58" s="3">
        <v>493602000</v>
      </c>
      <c r="D58" s="3">
        <v>831808000</v>
      </c>
      <c r="E58" s="3">
        <v>895777000</v>
      </c>
      <c r="F58" s="3">
        <v>761847000</v>
      </c>
      <c r="G58" s="3">
        <v>327694000</v>
      </c>
      <c r="H58" s="3">
        <v>250612000</v>
      </c>
      <c r="I58" s="3">
        <v>423254000</v>
      </c>
      <c r="J58" s="3">
        <v>518108000</v>
      </c>
      <c r="K58" s="3">
        <v>698972000</v>
      </c>
      <c r="L58" s="3">
        <v>670710000</v>
      </c>
      <c r="M58" s="3">
        <v>729900000</v>
      </c>
      <c r="N58" s="3">
        <v>274500000</v>
      </c>
      <c r="O58" s="4">
        <v>1085200000</v>
      </c>
      <c r="P58" s="3">
        <v>599200000</v>
      </c>
      <c r="Q58" s="3">
        <v>274500000</v>
      </c>
      <c r="R58" s="3">
        <v>1124200000</v>
      </c>
      <c r="S58" s="3">
        <v>1085200000</v>
      </c>
    </row>
    <row r="59" spans="1:19" ht="16" x14ac:dyDescent="0.2">
      <c r="A59" s="2" t="s">
        <v>68</v>
      </c>
      <c r="B59" s="3">
        <v>12529000</v>
      </c>
      <c r="C59" s="3">
        <v>183135000</v>
      </c>
      <c r="D59" s="3">
        <v>143250000</v>
      </c>
      <c r="E59" s="3">
        <v>85517000</v>
      </c>
      <c r="F59" s="3">
        <v>72994000</v>
      </c>
      <c r="G59" s="3">
        <v>177639000</v>
      </c>
      <c r="H59" s="3">
        <v>201083000</v>
      </c>
      <c r="I59" s="3">
        <v>281343000</v>
      </c>
      <c r="J59" s="3">
        <v>409688000</v>
      </c>
      <c r="K59" s="3">
        <v>633518000</v>
      </c>
      <c r="L59" s="3">
        <v>885352000</v>
      </c>
      <c r="M59" s="3">
        <v>1136800000</v>
      </c>
      <c r="N59" s="3">
        <v>1442200000</v>
      </c>
      <c r="O59" s="4">
        <v>1556200000</v>
      </c>
      <c r="P59" s="3">
        <v>1385200000</v>
      </c>
      <c r="Q59" s="3">
        <v>1442200000</v>
      </c>
      <c r="R59" s="3">
        <v>1547800000</v>
      </c>
      <c r="S59" s="3">
        <v>1556200000</v>
      </c>
    </row>
    <row r="60" spans="1:19" ht="16" x14ac:dyDescent="0.2">
      <c r="A60" s="2" t="s">
        <v>69</v>
      </c>
      <c r="B60" s="3">
        <v>12529000</v>
      </c>
      <c r="C60" s="3">
        <v>183135000</v>
      </c>
      <c r="D60" s="3">
        <v>143250000</v>
      </c>
      <c r="E60" s="3">
        <v>85517000</v>
      </c>
      <c r="F60" s="3">
        <v>72994000</v>
      </c>
      <c r="G60" s="3">
        <v>177639000</v>
      </c>
      <c r="H60" s="3">
        <v>201083000</v>
      </c>
      <c r="I60" s="3">
        <v>281343000</v>
      </c>
      <c r="J60" s="3">
        <v>409688000</v>
      </c>
      <c r="K60" s="3">
        <v>633518000</v>
      </c>
      <c r="L60" s="3">
        <v>885352000</v>
      </c>
      <c r="M60" s="3">
        <v>1136800000</v>
      </c>
      <c r="N60" s="3">
        <v>1442200000</v>
      </c>
      <c r="O60" s="4">
        <v>1556200000</v>
      </c>
      <c r="P60" s="3">
        <v>1385200000</v>
      </c>
      <c r="Q60" s="3">
        <v>1442200000</v>
      </c>
      <c r="R60" s="3">
        <v>1547800000</v>
      </c>
      <c r="S60" s="3">
        <v>1556200000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 t="s">
        <v>24</v>
      </c>
      <c r="C64" s="3">
        <v>112430000</v>
      </c>
      <c r="D64" s="3">
        <v>30464000</v>
      </c>
      <c r="E64" s="3">
        <v>14147000</v>
      </c>
      <c r="F64" s="3">
        <v>30848000</v>
      </c>
      <c r="G64" s="3">
        <v>56083000</v>
      </c>
      <c r="H64" s="3">
        <v>77604000</v>
      </c>
      <c r="I64" s="3">
        <v>111830000</v>
      </c>
      <c r="J64" s="3">
        <v>124360000</v>
      </c>
      <c r="K64" s="3">
        <v>167502000</v>
      </c>
      <c r="L64" s="3">
        <v>280777000</v>
      </c>
      <c r="M64" s="3">
        <v>353100000</v>
      </c>
      <c r="N64" s="3">
        <v>460600000</v>
      </c>
      <c r="O64" s="4">
        <v>603500000</v>
      </c>
      <c r="P64" s="3">
        <v>388200000</v>
      </c>
      <c r="Q64" s="3">
        <v>460600000</v>
      </c>
      <c r="R64" s="3">
        <v>535100000</v>
      </c>
      <c r="S64" s="3">
        <v>603500000</v>
      </c>
    </row>
    <row r="65" spans="1:19" ht="16" x14ac:dyDescent="0.2">
      <c r="A65" s="2" t="s">
        <v>74</v>
      </c>
      <c r="B65" s="3" t="s">
        <v>24</v>
      </c>
      <c r="C65" s="3">
        <v>32213000</v>
      </c>
      <c r="D65" s="3">
        <v>3754000</v>
      </c>
      <c r="E65" s="3">
        <v>489000</v>
      </c>
      <c r="F65" s="3">
        <v>8506000</v>
      </c>
      <c r="G65" s="3">
        <v>8696000</v>
      </c>
      <c r="H65" s="3">
        <v>6348000</v>
      </c>
      <c r="I65" s="3">
        <v>20924000</v>
      </c>
      <c r="J65" s="3">
        <v>9677000</v>
      </c>
      <c r="K65" s="3">
        <v>26247000</v>
      </c>
      <c r="L65" s="3">
        <v>46232000</v>
      </c>
      <c r="M65" s="3">
        <v>42400000</v>
      </c>
      <c r="N65" s="3">
        <v>38100000</v>
      </c>
      <c r="O65" s="4">
        <v>71800000</v>
      </c>
      <c r="P65" s="3">
        <v>32200000</v>
      </c>
      <c r="Q65" s="3">
        <v>38100000</v>
      </c>
      <c r="R65" s="3">
        <v>58100000</v>
      </c>
      <c r="S65" s="3">
        <v>71800000</v>
      </c>
    </row>
    <row r="66" spans="1:19" ht="16" x14ac:dyDescent="0.2">
      <c r="A66" s="2" t="s">
        <v>75</v>
      </c>
      <c r="B66" s="3" t="s">
        <v>24</v>
      </c>
      <c r="C66" s="3">
        <v>47010000</v>
      </c>
      <c r="D66" s="3">
        <v>11317000</v>
      </c>
      <c r="E66" s="3">
        <v>9981000</v>
      </c>
      <c r="F66" s="3">
        <v>20508000</v>
      </c>
      <c r="G66" s="3">
        <v>40695000</v>
      </c>
      <c r="H66" s="3">
        <v>56672000</v>
      </c>
      <c r="I66" s="3">
        <v>74237000</v>
      </c>
      <c r="J66" s="3">
        <v>87944000</v>
      </c>
      <c r="K66" s="3">
        <v>107021000</v>
      </c>
      <c r="L66" s="3">
        <v>161324000</v>
      </c>
      <c r="M66" s="3">
        <v>224000000</v>
      </c>
      <c r="N66" s="3">
        <v>260700000</v>
      </c>
      <c r="O66" s="4">
        <v>398900000</v>
      </c>
      <c r="P66" s="3">
        <v>229300000</v>
      </c>
      <c r="Q66" s="3">
        <v>260700000</v>
      </c>
      <c r="R66" s="3">
        <v>341100000</v>
      </c>
      <c r="S66" s="3">
        <v>398900000</v>
      </c>
    </row>
    <row r="67" spans="1:19" ht="16" x14ac:dyDescent="0.2">
      <c r="A67" s="2" t="s">
        <v>76</v>
      </c>
      <c r="B67" s="3" t="s">
        <v>24</v>
      </c>
      <c r="C67" s="3">
        <v>33207000</v>
      </c>
      <c r="D67" s="3">
        <v>15393000</v>
      </c>
      <c r="E67" s="3">
        <v>3677000</v>
      </c>
      <c r="F67" s="3">
        <v>1834000</v>
      </c>
      <c r="G67" s="3">
        <v>7816000</v>
      </c>
      <c r="H67" s="3">
        <v>14584000</v>
      </c>
      <c r="I67" s="3">
        <v>16669000</v>
      </c>
      <c r="J67" s="3">
        <v>26739000</v>
      </c>
      <c r="K67" s="3">
        <v>34234000</v>
      </c>
      <c r="L67" s="3">
        <v>73221000</v>
      </c>
      <c r="M67" s="3">
        <v>86700000</v>
      </c>
      <c r="N67" s="3">
        <v>161800000</v>
      </c>
      <c r="O67" s="4">
        <v>132800000</v>
      </c>
      <c r="P67" s="3">
        <v>126700000</v>
      </c>
      <c r="Q67" s="3">
        <v>161800000</v>
      </c>
      <c r="R67" s="3">
        <v>135900000</v>
      </c>
      <c r="S67" s="3">
        <v>132800000</v>
      </c>
    </row>
    <row r="68" spans="1:19" ht="16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>
        <v>-1124000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ht="16" x14ac:dyDescent="0.2">
      <c r="A70" s="2" t="s">
        <v>79</v>
      </c>
      <c r="B70" s="3">
        <v>13099000</v>
      </c>
      <c r="C70" s="3">
        <v>66767000</v>
      </c>
      <c r="D70" s="3">
        <v>94656000</v>
      </c>
      <c r="E70" s="3">
        <v>23836000</v>
      </c>
      <c r="F70" s="3">
        <v>57193000</v>
      </c>
      <c r="G70" s="3">
        <v>78910000</v>
      </c>
      <c r="H70" s="3">
        <v>47762000</v>
      </c>
      <c r="I70" s="3">
        <v>1489000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4">
        <v>476900000</v>
      </c>
      <c r="P70" s="3" t="s">
        <v>24</v>
      </c>
      <c r="Q70" s="3" t="s">
        <v>24</v>
      </c>
      <c r="R70" s="3">
        <v>468700000</v>
      </c>
      <c r="S70" s="3">
        <v>476900000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668407000</v>
      </c>
      <c r="C76" s="3">
        <v>873026000</v>
      </c>
      <c r="D76" s="3">
        <v>1169703000</v>
      </c>
      <c r="E76" s="3">
        <v>730465000</v>
      </c>
      <c r="F76" s="3">
        <v>788168000</v>
      </c>
      <c r="G76" s="3">
        <v>1141951000</v>
      </c>
      <c r="H76" s="3">
        <v>1132779000</v>
      </c>
      <c r="I76" s="3">
        <v>1062686000</v>
      </c>
      <c r="J76" s="3">
        <v>2543608000</v>
      </c>
      <c r="K76" s="3">
        <v>3709151000</v>
      </c>
      <c r="L76" s="3">
        <v>3926782000</v>
      </c>
      <c r="M76" s="3">
        <v>4417700000</v>
      </c>
      <c r="N76" s="3">
        <v>5469600000</v>
      </c>
      <c r="O76" s="4">
        <v>6476300000</v>
      </c>
      <c r="P76" s="3">
        <v>5162300000</v>
      </c>
      <c r="Q76" s="3">
        <v>5469600000</v>
      </c>
      <c r="R76" s="3">
        <v>6008500000</v>
      </c>
      <c r="S76" s="3">
        <v>6476300000</v>
      </c>
    </row>
    <row r="77" spans="1:19" ht="16" x14ac:dyDescent="0.2">
      <c r="A77" s="2" t="s">
        <v>86</v>
      </c>
      <c r="B77" s="3">
        <v>72333000</v>
      </c>
      <c r="C77" s="3">
        <v>133176000</v>
      </c>
      <c r="D77" s="3">
        <v>433609000</v>
      </c>
      <c r="E77" s="3">
        <v>696911000</v>
      </c>
      <c r="F77" s="3">
        <v>715812000</v>
      </c>
      <c r="G77" s="3">
        <v>697715000</v>
      </c>
      <c r="H77" s="3">
        <v>698362000</v>
      </c>
      <c r="I77" s="3">
        <v>789437000</v>
      </c>
      <c r="J77" s="3">
        <v>812005000</v>
      </c>
      <c r="K77" s="3">
        <v>745080000</v>
      </c>
      <c r="L77" s="3">
        <v>1284098000</v>
      </c>
      <c r="M77" s="3">
        <v>1424400000</v>
      </c>
      <c r="N77" s="3">
        <v>1455800000</v>
      </c>
      <c r="O77" s="4">
        <v>1446700000</v>
      </c>
      <c r="P77" s="3">
        <v>1461400000</v>
      </c>
      <c r="Q77" s="3">
        <v>1455800000</v>
      </c>
      <c r="R77" s="3">
        <v>1448000000</v>
      </c>
      <c r="S77" s="3">
        <v>1446700000</v>
      </c>
    </row>
    <row r="78" spans="1:19" ht="16" x14ac:dyDescent="0.2">
      <c r="A78" s="2" t="s">
        <v>87</v>
      </c>
      <c r="B78" s="3">
        <v>319652000</v>
      </c>
      <c r="C78" s="3">
        <v>404239000</v>
      </c>
      <c r="D78" s="3">
        <v>730294000</v>
      </c>
      <c r="E78" s="3">
        <v>1005246000</v>
      </c>
      <c r="F78" s="3">
        <v>994198000</v>
      </c>
      <c r="G78" s="3">
        <v>1033782000</v>
      </c>
      <c r="H78" s="3">
        <v>1086160000</v>
      </c>
      <c r="I78" s="3">
        <v>1221560000</v>
      </c>
      <c r="J78" s="3">
        <v>1263448000</v>
      </c>
      <c r="K78" s="3">
        <v>1437620000</v>
      </c>
      <c r="L78" s="3">
        <v>2074678000</v>
      </c>
      <c r="M78" s="3">
        <v>2320400000</v>
      </c>
      <c r="N78" s="3">
        <v>2483100000</v>
      </c>
      <c r="O78" s="4">
        <v>1446700000</v>
      </c>
      <c r="P78" s="3">
        <v>1461400000</v>
      </c>
      <c r="Q78" s="3">
        <v>2483100000</v>
      </c>
      <c r="R78" s="3">
        <v>1448000000</v>
      </c>
      <c r="S78" s="3">
        <v>1446700000</v>
      </c>
    </row>
    <row r="79" spans="1:19" ht="16" x14ac:dyDescent="0.2">
      <c r="A79" s="2" t="s">
        <v>88</v>
      </c>
      <c r="B79" s="3">
        <v>247319000</v>
      </c>
      <c r="C79" s="3">
        <v>271063000</v>
      </c>
      <c r="D79" s="3">
        <v>296685000</v>
      </c>
      <c r="E79" s="3">
        <v>308335000</v>
      </c>
      <c r="F79" s="3">
        <v>278386000</v>
      </c>
      <c r="G79" s="3">
        <v>336067000</v>
      </c>
      <c r="H79" s="3">
        <v>387798000</v>
      </c>
      <c r="I79" s="3">
        <v>432123000</v>
      </c>
      <c r="J79" s="3">
        <v>451443000</v>
      </c>
      <c r="K79" s="3">
        <v>692540000</v>
      </c>
      <c r="L79" s="3">
        <v>790580000</v>
      </c>
      <c r="M79" s="3">
        <v>896000000</v>
      </c>
      <c r="N79" s="3">
        <v>1027300000</v>
      </c>
      <c r="O79" s="4" t="s">
        <v>24</v>
      </c>
      <c r="P79" s="3" t="s">
        <v>24</v>
      </c>
      <c r="Q79" s="3">
        <v>1027300000</v>
      </c>
      <c r="R79" s="3" t="s">
        <v>24</v>
      </c>
      <c r="S79" s="3" t="s">
        <v>24</v>
      </c>
    </row>
    <row r="80" spans="1:19" ht="16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>
        <v>20276000</v>
      </c>
      <c r="I80" s="3">
        <v>20447000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>
        <v>1357300000</v>
      </c>
      <c r="P80" s="3" t="s">
        <v>24</v>
      </c>
      <c r="Q80" s="3" t="s">
        <v>24</v>
      </c>
      <c r="R80" s="3">
        <v>1081500000</v>
      </c>
      <c r="S80" s="3">
        <v>1357300000</v>
      </c>
    </row>
    <row r="81" spans="1:19" ht="16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>
        <v>20276000</v>
      </c>
      <c r="I81" s="3">
        <v>20447000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>
        <v>1357300000</v>
      </c>
      <c r="P81" s="3" t="s">
        <v>24</v>
      </c>
      <c r="Q81" s="3" t="s">
        <v>24</v>
      </c>
      <c r="R81" s="3">
        <v>1081500000</v>
      </c>
      <c r="S81" s="3">
        <v>1357300000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596074000</v>
      </c>
      <c r="C83" s="3">
        <v>739850000</v>
      </c>
      <c r="D83" s="3">
        <v>736094000</v>
      </c>
      <c r="E83" s="3">
        <v>33554000</v>
      </c>
      <c r="F83" s="3">
        <v>72356000</v>
      </c>
      <c r="G83" s="3">
        <v>444236000</v>
      </c>
      <c r="H83" s="3">
        <v>414141000</v>
      </c>
      <c r="I83" s="3">
        <v>252802000</v>
      </c>
      <c r="J83" s="3">
        <v>1731603000</v>
      </c>
      <c r="K83" s="3">
        <v>2964071000</v>
      </c>
      <c r="L83" s="3">
        <v>2642684000</v>
      </c>
      <c r="M83" s="3">
        <v>2993300000</v>
      </c>
      <c r="N83" s="3">
        <v>4013800000</v>
      </c>
      <c r="O83" s="4">
        <v>3672300000</v>
      </c>
      <c r="P83" s="3">
        <v>3700900000</v>
      </c>
      <c r="Q83" s="3">
        <v>4013800000</v>
      </c>
      <c r="R83" s="3">
        <v>3479000000</v>
      </c>
      <c r="S83" s="3">
        <v>3672300000</v>
      </c>
    </row>
    <row r="84" spans="1:19" ht="16" x14ac:dyDescent="0.2">
      <c r="A84" s="2" t="s">
        <v>93</v>
      </c>
      <c r="B84" s="3">
        <v>544802000</v>
      </c>
      <c r="C84" s="3">
        <v>694492000</v>
      </c>
      <c r="D84" s="3">
        <v>694492000</v>
      </c>
      <c r="E84" s="3">
        <v>30992000</v>
      </c>
      <c r="F84" s="3">
        <v>68915000</v>
      </c>
      <c r="G84" s="3">
        <v>334724000</v>
      </c>
      <c r="H84" s="3">
        <v>334724000</v>
      </c>
      <c r="I84" s="3">
        <v>79384000</v>
      </c>
      <c r="J84" s="3">
        <v>50384000</v>
      </c>
      <c r="K84" s="3">
        <v>1402158000</v>
      </c>
      <c r="L84" s="3">
        <v>1402158000</v>
      </c>
      <c r="M84" s="3">
        <v>1402200000</v>
      </c>
      <c r="N84" s="3">
        <v>1691600000</v>
      </c>
      <c r="O84" s="4">
        <v>1691600000</v>
      </c>
      <c r="P84" s="3">
        <v>1678800000</v>
      </c>
      <c r="Q84" s="3">
        <v>1691600000</v>
      </c>
      <c r="R84" s="3">
        <v>1691600000</v>
      </c>
      <c r="S84" s="3">
        <v>1691600000</v>
      </c>
    </row>
    <row r="85" spans="1:19" ht="16" x14ac:dyDescent="0.2">
      <c r="A85" s="2" t="s">
        <v>94</v>
      </c>
      <c r="B85" s="3">
        <v>26102000</v>
      </c>
      <c r="C85" s="3">
        <v>30992000</v>
      </c>
      <c r="D85" s="3">
        <v>30992000</v>
      </c>
      <c r="E85" s="3">
        <v>30992000</v>
      </c>
      <c r="F85" s="3">
        <v>39915000</v>
      </c>
      <c r="G85" s="3">
        <v>50384000</v>
      </c>
      <c r="H85" s="3">
        <v>50384000</v>
      </c>
      <c r="I85" s="3">
        <v>50384000</v>
      </c>
      <c r="J85" s="3">
        <v>50384000</v>
      </c>
      <c r="K85" s="3">
        <v>1402158000</v>
      </c>
      <c r="L85" s="3">
        <v>1402158000</v>
      </c>
      <c r="M85" s="3">
        <v>1402200000</v>
      </c>
      <c r="N85" s="3">
        <v>1088000000</v>
      </c>
      <c r="O85" s="4">
        <v>1088000000</v>
      </c>
      <c r="P85" s="3">
        <v>1075200000</v>
      </c>
      <c r="Q85" s="3">
        <v>1088000000</v>
      </c>
      <c r="R85" s="3">
        <v>1088000000</v>
      </c>
      <c r="S85" s="3">
        <v>1088000000</v>
      </c>
    </row>
    <row r="86" spans="1:19" ht="16" x14ac:dyDescent="0.2">
      <c r="A86" s="2" t="s">
        <v>95</v>
      </c>
      <c r="B86" s="3">
        <v>518700000</v>
      </c>
      <c r="C86" s="3">
        <v>663500000</v>
      </c>
      <c r="D86" s="3">
        <v>663500000</v>
      </c>
      <c r="E86" s="3" t="s">
        <v>24</v>
      </c>
      <c r="F86" s="3">
        <v>29000000</v>
      </c>
      <c r="G86" s="3">
        <v>284340000</v>
      </c>
      <c r="H86" s="3">
        <v>284340000</v>
      </c>
      <c r="I86" s="3">
        <v>29000000</v>
      </c>
      <c r="J86" s="3" t="s">
        <v>24</v>
      </c>
      <c r="K86" s="3" t="s">
        <v>24</v>
      </c>
      <c r="L86" s="3" t="s">
        <v>24</v>
      </c>
      <c r="M86" s="3" t="s">
        <v>24</v>
      </c>
      <c r="N86" s="3">
        <v>603600000</v>
      </c>
      <c r="O86" s="4">
        <v>603600000</v>
      </c>
      <c r="P86" s="3">
        <v>603600000</v>
      </c>
      <c r="Q86" s="3">
        <v>603600000</v>
      </c>
      <c r="R86" s="3">
        <v>603600000</v>
      </c>
      <c r="S86" s="3">
        <v>603600000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51272000</v>
      </c>
      <c r="C89" s="3">
        <v>45358000</v>
      </c>
      <c r="D89" s="3">
        <v>41602000</v>
      </c>
      <c r="E89" s="3">
        <v>2562000</v>
      </c>
      <c r="F89" s="3">
        <v>3441000</v>
      </c>
      <c r="G89" s="3">
        <v>109512000</v>
      </c>
      <c r="H89" s="3">
        <v>79417000</v>
      </c>
      <c r="I89" s="3">
        <v>173418000</v>
      </c>
      <c r="J89" s="3">
        <v>1681219000</v>
      </c>
      <c r="K89" s="3">
        <v>1561913000</v>
      </c>
      <c r="L89" s="3">
        <v>1240526000</v>
      </c>
      <c r="M89" s="3">
        <v>1591100000</v>
      </c>
      <c r="N89" s="3">
        <v>2322200000</v>
      </c>
      <c r="O89" s="4">
        <v>1980700000</v>
      </c>
      <c r="P89" s="3">
        <v>2022100000</v>
      </c>
      <c r="Q89" s="3">
        <v>2322200000</v>
      </c>
      <c r="R89" s="3">
        <v>1787400000</v>
      </c>
      <c r="S89" s="3">
        <v>1980700000</v>
      </c>
    </row>
    <row r="90" spans="1:19" ht="16" x14ac:dyDescent="0.2">
      <c r="A90" s="2" t="s">
        <v>99</v>
      </c>
      <c r="B90" s="3">
        <v>1725446000</v>
      </c>
      <c r="C90" s="3">
        <v>2204280000</v>
      </c>
      <c r="D90" s="3">
        <v>2759288000</v>
      </c>
      <c r="E90" s="3">
        <v>2319041000</v>
      </c>
      <c r="F90" s="3">
        <v>2336309000</v>
      </c>
      <c r="G90" s="3">
        <v>2497045000</v>
      </c>
      <c r="H90" s="3">
        <v>2893785000</v>
      </c>
      <c r="I90" s="3">
        <v>3546014000</v>
      </c>
      <c r="J90" s="3">
        <v>6245898000</v>
      </c>
      <c r="K90" s="3">
        <v>8318465000</v>
      </c>
      <c r="L90" s="3">
        <v>11751808000</v>
      </c>
      <c r="M90" s="3">
        <v>13432500000</v>
      </c>
      <c r="N90" s="3">
        <v>18150900000</v>
      </c>
      <c r="O90" s="4">
        <v>20349200000</v>
      </c>
      <c r="P90" s="3">
        <v>16706400000</v>
      </c>
      <c r="Q90" s="3">
        <v>18150900000</v>
      </c>
      <c r="R90" s="3">
        <v>18974200000</v>
      </c>
      <c r="S90" s="3">
        <v>20349200000</v>
      </c>
    </row>
    <row r="91" spans="1:19" ht="16" x14ac:dyDescent="0.2">
      <c r="A91" s="2" t="s">
        <v>100</v>
      </c>
      <c r="B91" s="3">
        <v>179224000</v>
      </c>
      <c r="C91" s="3">
        <v>26313000</v>
      </c>
      <c r="D91" s="3">
        <v>371649000</v>
      </c>
      <c r="E91" s="3">
        <v>334690000</v>
      </c>
      <c r="F91" s="3">
        <v>313977000</v>
      </c>
      <c r="G91" s="3">
        <v>388656000</v>
      </c>
      <c r="H91" s="3">
        <v>7954000</v>
      </c>
      <c r="I91" s="3">
        <v>520130000</v>
      </c>
      <c r="J91" s="3">
        <v>715482000</v>
      </c>
      <c r="K91" s="3">
        <v>1204522000</v>
      </c>
      <c r="L91" s="3">
        <v>1560110000</v>
      </c>
      <c r="M91" s="3">
        <v>1873600000</v>
      </c>
      <c r="N91" s="3">
        <v>2430600000</v>
      </c>
      <c r="O91" s="4">
        <v>2961100000</v>
      </c>
      <c r="P91" s="3">
        <v>2391300000</v>
      </c>
      <c r="Q91" s="3">
        <v>2430600000</v>
      </c>
      <c r="R91" s="3">
        <v>2649200000</v>
      </c>
      <c r="S91" s="3">
        <v>2961100000</v>
      </c>
    </row>
    <row r="92" spans="1:19" ht="16" x14ac:dyDescent="0.2">
      <c r="A92" s="2" t="s">
        <v>101</v>
      </c>
      <c r="B92" s="3">
        <v>35851000</v>
      </c>
      <c r="C92" s="3">
        <v>74642000</v>
      </c>
      <c r="D92" s="3">
        <v>101292000</v>
      </c>
      <c r="E92" s="3">
        <v>49327000</v>
      </c>
      <c r="F92" s="3">
        <v>71194000</v>
      </c>
      <c r="G92" s="3">
        <v>74942000</v>
      </c>
      <c r="H92" s="3">
        <v>61451000</v>
      </c>
      <c r="I92" s="3">
        <v>73994000</v>
      </c>
      <c r="J92" s="3">
        <v>110987000</v>
      </c>
      <c r="K92" s="3">
        <v>87610000</v>
      </c>
      <c r="L92" s="3">
        <v>155139000</v>
      </c>
      <c r="M92" s="3">
        <v>195000000</v>
      </c>
      <c r="N92" s="3">
        <v>303900000</v>
      </c>
      <c r="O92" s="4">
        <v>363000000</v>
      </c>
      <c r="P92" s="3">
        <v>126900000</v>
      </c>
      <c r="Q92" s="3">
        <v>303900000</v>
      </c>
      <c r="R92" s="3">
        <v>323200000</v>
      </c>
      <c r="S92" s="3">
        <v>363000000</v>
      </c>
    </row>
    <row r="93" spans="1:19" ht="16" x14ac:dyDescent="0.2">
      <c r="A93" s="2" t="s">
        <v>102</v>
      </c>
      <c r="B93" s="3" t="s">
        <v>24</v>
      </c>
      <c r="C93" s="3">
        <v>12075000</v>
      </c>
      <c r="D93" s="3">
        <v>715000</v>
      </c>
      <c r="E93" s="3">
        <v>8362000</v>
      </c>
      <c r="F93" s="3">
        <v>10038000</v>
      </c>
      <c r="G93" s="3">
        <v>30953000</v>
      </c>
      <c r="H93" s="3">
        <v>6883000</v>
      </c>
      <c r="I93" s="3" t="s">
        <v>24</v>
      </c>
      <c r="J93" s="3">
        <v>43281000</v>
      </c>
      <c r="K93" s="3">
        <v>72293000</v>
      </c>
      <c r="L93" s="3">
        <v>104173000</v>
      </c>
      <c r="M93" s="3">
        <v>211300000</v>
      </c>
      <c r="N93" s="3">
        <v>123300000</v>
      </c>
      <c r="O93" s="4" t="s">
        <v>24</v>
      </c>
      <c r="P93" s="3" t="s">
        <v>24</v>
      </c>
      <c r="Q93" s="3">
        <v>123300000</v>
      </c>
      <c r="R93" s="3" t="s">
        <v>24</v>
      </c>
      <c r="S93" s="3" t="s">
        <v>24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143373000</v>
      </c>
      <c r="C95" s="3">
        <v>-60404000</v>
      </c>
      <c r="D95" s="3">
        <v>269642000</v>
      </c>
      <c r="E95" s="3">
        <v>277001000</v>
      </c>
      <c r="F95" s="3">
        <v>232745000</v>
      </c>
      <c r="G95" s="3">
        <v>282761000</v>
      </c>
      <c r="H95" s="3">
        <v>-60380000</v>
      </c>
      <c r="I95" s="3">
        <v>446136000</v>
      </c>
      <c r="J95" s="3">
        <v>561214000</v>
      </c>
      <c r="K95" s="3">
        <v>1044619000</v>
      </c>
      <c r="L95" s="3">
        <v>1300798000</v>
      </c>
      <c r="M95" s="3">
        <v>1467300000</v>
      </c>
      <c r="N95" s="3">
        <v>2003400000</v>
      </c>
      <c r="O95" s="4">
        <v>2598100000</v>
      </c>
      <c r="P95" s="3">
        <v>2264400000</v>
      </c>
      <c r="Q95" s="3">
        <v>2003400000</v>
      </c>
      <c r="R95" s="3">
        <v>2326000000</v>
      </c>
      <c r="S95" s="3">
        <v>2598100000</v>
      </c>
    </row>
    <row r="96" spans="1:19" ht="16" x14ac:dyDescent="0.2">
      <c r="A96" s="2" t="s">
        <v>105</v>
      </c>
      <c r="B96" s="3">
        <v>136991000</v>
      </c>
      <c r="C96" s="3" t="s">
        <v>24</v>
      </c>
      <c r="D96" s="3">
        <v>13707000</v>
      </c>
      <c r="E96" s="3">
        <v>16893000</v>
      </c>
      <c r="F96" s="3">
        <v>32012000</v>
      </c>
      <c r="G96" s="3">
        <v>87023000</v>
      </c>
      <c r="H96" s="3">
        <v>319426000</v>
      </c>
      <c r="I96" s="3">
        <v>22531000</v>
      </c>
      <c r="J96" s="3">
        <v>9817000</v>
      </c>
      <c r="K96" s="3">
        <v>30293000</v>
      </c>
      <c r="L96" s="3">
        <v>42434000</v>
      </c>
      <c r="M96" s="3">
        <v>46900000</v>
      </c>
      <c r="N96" s="3">
        <v>89400000</v>
      </c>
      <c r="O96" s="4">
        <v>0</v>
      </c>
      <c r="P96" s="3">
        <v>0</v>
      </c>
      <c r="Q96" s="3">
        <v>89400000</v>
      </c>
      <c r="R96" s="3">
        <v>0</v>
      </c>
      <c r="S96" s="3">
        <v>0</v>
      </c>
    </row>
    <row r="97" spans="1:19" ht="16" x14ac:dyDescent="0.2">
      <c r="A97" s="2" t="s">
        <v>106</v>
      </c>
      <c r="B97" s="3">
        <v>136991000</v>
      </c>
      <c r="C97" s="3" t="s">
        <v>24</v>
      </c>
      <c r="D97" s="3" t="s">
        <v>24</v>
      </c>
      <c r="E97" s="3" t="s">
        <v>24</v>
      </c>
      <c r="F97" s="3">
        <v>14206000</v>
      </c>
      <c r="G97" s="3">
        <v>71478000</v>
      </c>
      <c r="H97" s="3">
        <v>300000000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>
        <v>13707000</v>
      </c>
      <c r="E98" s="3">
        <v>16893000</v>
      </c>
      <c r="F98" s="3">
        <v>17806000</v>
      </c>
      <c r="G98" s="3">
        <v>15545000</v>
      </c>
      <c r="H98" s="3">
        <v>19426000</v>
      </c>
      <c r="I98" s="3">
        <v>22531000</v>
      </c>
      <c r="J98" s="3">
        <v>9817000</v>
      </c>
      <c r="K98" s="3">
        <v>30293000</v>
      </c>
      <c r="L98" s="3">
        <v>42434000</v>
      </c>
      <c r="M98" s="3">
        <v>46900000</v>
      </c>
      <c r="N98" s="3">
        <v>89400000</v>
      </c>
      <c r="O98" s="4" t="s">
        <v>24</v>
      </c>
      <c r="P98" s="3" t="s">
        <v>24</v>
      </c>
      <c r="Q98" s="3">
        <v>89400000</v>
      </c>
      <c r="R98" s="3" t="s">
        <v>24</v>
      </c>
      <c r="S98" s="3" t="s">
        <v>24</v>
      </c>
    </row>
    <row r="99" spans="1:19" ht="16" x14ac:dyDescent="0.2">
      <c r="A99" s="2" t="s">
        <v>108</v>
      </c>
      <c r="B99" s="3">
        <v>158568000</v>
      </c>
      <c r="C99" s="3">
        <v>812455000</v>
      </c>
      <c r="D99" s="3">
        <v>47268000</v>
      </c>
      <c r="E99" s="3">
        <v>46246000</v>
      </c>
      <c r="F99" s="3">
        <v>22265000</v>
      </c>
      <c r="G99" s="3">
        <v>30670000</v>
      </c>
      <c r="H99" s="3">
        <v>-319426000</v>
      </c>
      <c r="I99" s="3">
        <v>264599000</v>
      </c>
      <c r="J99" s="3">
        <v>-9817000</v>
      </c>
      <c r="K99" s="3">
        <v>-30293000</v>
      </c>
      <c r="L99" s="3">
        <v>-42434000</v>
      </c>
      <c r="M99" s="3">
        <v>-46900000</v>
      </c>
      <c r="N99" s="3">
        <v>-89400000</v>
      </c>
      <c r="O99" s="4">
        <v>391000000</v>
      </c>
      <c r="P99" s="3" t="s">
        <v>24</v>
      </c>
      <c r="Q99" s="3">
        <v>-89400000</v>
      </c>
      <c r="R99" s="3">
        <v>377000000</v>
      </c>
      <c r="S99" s="3">
        <v>391000000</v>
      </c>
    </row>
    <row r="100" spans="1:19" ht="16" x14ac:dyDescent="0.2">
      <c r="A100" s="2" t="s">
        <v>109</v>
      </c>
      <c r="B100" s="3">
        <v>74619000</v>
      </c>
      <c r="C100" s="3">
        <v>163132000</v>
      </c>
      <c r="D100" s="3">
        <v>27566000</v>
      </c>
      <c r="E100" s="3">
        <v>21510000</v>
      </c>
      <c r="F100" s="3">
        <v>17468000</v>
      </c>
      <c r="G100" s="3">
        <v>16296000</v>
      </c>
      <c r="H100" s="3">
        <v>79421000</v>
      </c>
      <c r="I100" s="3">
        <v>237570000</v>
      </c>
      <c r="J100" s="3">
        <v>24870000</v>
      </c>
      <c r="K100" s="3">
        <v>62332000</v>
      </c>
      <c r="L100" s="3">
        <v>191519000</v>
      </c>
      <c r="M100" s="3">
        <v>171700000</v>
      </c>
      <c r="N100" s="3">
        <v>159600000</v>
      </c>
      <c r="O100" s="4" t="s">
        <v>24</v>
      </c>
      <c r="P100" s="3" t="s">
        <v>24</v>
      </c>
      <c r="Q100" s="3">
        <v>159600000</v>
      </c>
      <c r="R100" s="3" t="s">
        <v>24</v>
      </c>
      <c r="S100" s="3" t="s">
        <v>24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>
        <v>243707000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>
        <v>83949000</v>
      </c>
      <c r="C103" s="3">
        <v>405616000</v>
      </c>
      <c r="D103" s="3">
        <v>19702000</v>
      </c>
      <c r="E103" s="3">
        <v>24736000</v>
      </c>
      <c r="F103" s="3">
        <v>4797000</v>
      </c>
      <c r="G103" s="3">
        <v>14374000</v>
      </c>
      <c r="H103" s="3">
        <v>-398847000</v>
      </c>
      <c r="I103" s="3">
        <v>27029000</v>
      </c>
      <c r="J103" s="3">
        <v>-34687000</v>
      </c>
      <c r="K103" s="3">
        <v>-92625000</v>
      </c>
      <c r="L103" s="3">
        <v>-233953000</v>
      </c>
      <c r="M103" s="3">
        <v>-218600000</v>
      </c>
      <c r="N103" s="3">
        <v>-249000000</v>
      </c>
      <c r="O103" s="4">
        <v>391000000</v>
      </c>
      <c r="P103" s="3" t="s">
        <v>24</v>
      </c>
      <c r="Q103" s="3">
        <v>-249000000</v>
      </c>
      <c r="R103" s="3">
        <v>377000000</v>
      </c>
      <c r="S103" s="3">
        <v>391000000</v>
      </c>
    </row>
    <row r="104" spans="1:19" ht="16" x14ac:dyDescent="0.2">
      <c r="A104" s="2" t="s">
        <v>113</v>
      </c>
      <c r="B104" s="3">
        <v>474783000</v>
      </c>
      <c r="C104" s="3">
        <v>838768000</v>
      </c>
      <c r="D104" s="3">
        <v>432624000</v>
      </c>
      <c r="E104" s="3">
        <v>397829000</v>
      </c>
      <c r="F104" s="3">
        <v>368254000</v>
      </c>
      <c r="G104" s="3">
        <v>506349000</v>
      </c>
      <c r="H104" s="3">
        <v>7954000</v>
      </c>
      <c r="I104" s="3">
        <v>807260000</v>
      </c>
      <c r="J104" s="3">
        <v>715482000</v>
      </c>
      <c r="K104" s="3">
        <v>1204522000</v>
      </c>
      <c r="L104" s="3">
        <v>1560110000</v>
      </c>
      <c r="M104" s="3">
        <v>1873600000</v>
      </c>
      <c r="N104" s="3">
        <v>2430600000</v>
      </c>
      <c r="O104" s="4">
        <v>3352100000</v>
      </c>
      <c r="P104" s="3">
        <v>2391300000</v>
      </c>
      <c r="Q104" s="3">
        <v>2430600000</v>
      </c>
      <c r="R104" s="3">
        <v>3026200000</v>
      </c>
      <c r="S104" s="3">
        <v>3352100000</v>
      </c>
    </row>
    <row r="105" spans="1:19" ht="16" x14ac:dyDescent="0.2">
      <c r="A105" s="2" t="s">
        <v>114</v>
      </c>
      <c r="B105" s="3">
        <v>400000000</v>
      </c>
      <c r="C105" s="3">
        <v>400000000</v>
      </c>
      <c r="D105" s="3">
        <v>672631000</v>
      </c>
      <c r="E105" s="3">
        <v>440937000</v>
      </c>
      <c r="F105" s="3">
        <v>825298000</v>
      </c>
      <c r="G105" s="3">
        <v>820614000</v>
      </c>
      <c r="H105" s="3">
        <v>838249000</v>
      </c>
      <c r="I105" s="3">
        <v>563911000</v>
      </c>
      <c r="J105" s="3">
        <v>567163000</v>
      </c>
      <c r="K105" s="3">
        <v>577371000</v>
      </c>
      <c r="L105" s="3">
        <v>581476000</v>
      </c>
      <c r="M105" s="3">
        <v>556700000</v>
      </c>
      <c r="N105" s="3">
        <v>471600000</v>
      </c>
      <c r="O105" s="4">
        <v>767600000</v>
      </c>
      <c r="P105" s="3">
        <v>482000000</v>
      </c>
      <c r="Q105" s="3">
        <v>471600000</v>
      </c>
      <c r="R105" s="3">
        <v>789200000</v>
      </c>
      <c r="S105" s="3">
        <v>767600000</v>
      </c>
    </row>
    <row r="106" spans="1:19" ht="16" x14ac:dyDescent="0.2">
      <c r="A106" s="2" t="s">
        <v>115</v>
      </c>
      <c r="B106" s="3">
        <v>400000000</v>
      </c>
      <c r="C106" s="3">
        <v>400000000</v>
      </c>
      <c r="D106" s="3">
        <v>400000000</v>
      </c>
      <c r="E106" s="3" t="s">
        <v>24</v>
      </c>
      <c r="F106" s="3">
        <v>294775000</v>
      </c>
      <c r="G106" s="3">
        <v>295447000</v>
      </c>
      <c r="H106" s="3">
        <v>296998000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ht="16" x14ac:dyDescent="0.2">
      <c r="A107" s="2" t="s">
        <v>116</v>
      </c>
      <c r="B107" s="3" t="s">
        <v>24</v>
      </c>
      <c r="C107" s="3">
        <v>55950000</v>
      </c>
      <c r="D107" s="3">
        <v>272631000</v>
      </c>
      <c r="E107" s="3">
        <v>440937000</v>
      </c>
      <c r="F107" s="3">
        <v>530523000</v>
      </c>
      <c r="G107" s="3">
        <v>525167000</v>
      </c>
      <c r="H107" s="3">
        <v>541251000</v>
      </c>
      <c r="I107" s="3">
        <v>563911000</v>
      </c>
      <c r="J107" s="3">
        <v>567163000</v>
      </c>
      <c r="K107" s="3">
        <v>577371000</v>
      </c>
      <c r="L107" s="3">
        <v>581476000</v>
      </c>
      <c r="M107" s="3">
        <v>556700000</v>
      </c>
      <c r="N107" s="3">
        <v>471600000</v>
      </c>
      <c r="O107" s="4">
        <v>767600000</v>
      </c>
      <c r="P107" s="3">
        <v>482000000</v>
      </c>
      <c r="Q107" s="3">
        <v>471600000</v>
      </c>
      <c r="R107" s="3">
        <v>789200000</v>
      </c>
      <c r="S107" s="3">
        <v>767600000</v>
      </c>
    </row>
    <row r="108" spans="1:19" ht="16" x14ac:dyDescent="0.2">
      <c r="A108" s="2" t="s">
        <v>117</v>
      </c>
      <c r="B108" s="3">
        <v>346690000</v>
      </c>
      <c r="C108" s="3" t="s">
        <v>24</v>
      </c>
      <c r="D108" s="3">
        <v>852275000</v>
      </c>
      <c r="E108" s="3">
        <v>521699000</v>
      </c>
      <c r="F108" s="3">
        <v>414828000</v>
      </c>
      <c r="G108" s="3">
        <v>583751000</v>
      </c>
      <c r="H108" s="3">
        <v>709391000</v>
      </c>
      <c r="I108" s="3">
        <v>939797000</v>
      </c>
      <c r="J108" s="3">
        <v>528050000</v>
      </c>
      <c r="K108" s="3">
        <v>451328000</v>
      </c>
      <c r="L108" s="3">
        <v>923407000</v>
      </c>
      <c r="M108" s="3">
        <v>902200000</v>
      </c>
      <c r="N108" s="3">
        <v>1336000000</v>
      </c>
      <c r="O108" s="4">
        <v>759300000</v>
      </c>
      <c r="P108" s="3">
        <v>803500000</v>
      </c>
      <c r="Q108" s="3">
        <v>1336000000</v>
      </c>
      <c r="R108" s="3">
        <v>726500000</v>
      </c>
      <c r="S108" s="3">
        <v>759300000</v>
      </c>
    </row>
    <row r="109" spans="1:19" ht="16" x14ac:dyDescent="0.2">
      <c r="A109" s="2" t="s">
        <v>118</v>
      </c>
      <c r="B109" s="3">
        <v>320327000</v>
      </c>
      <c r="C109" s="3">
        <v>361802000</v>
      </c>
      <c r="D109" s="3">
        <v>404175000</v>
      </c>
      <c r="E109" s="3">
        <v>70969000</v>
      </c>
      <c r="F109" s="3">
        <v>45276000</v>
      </c>
      <c r="G109" s="3">
        <v>136449000</v>
      </c>
      <c r="H109" s="3">
        <v>146700000</v>
      </c>
      <c r="I109" s="3">
        <v>6341000</v>
      </c>
      <c r="J109" s="3">
        <v>82573000</v>
      </c>
      <c r="K109" s="3">
        <v>88762000</v>
      </c>
      <c r="L109" s="3" t="s">
        <v>24</v>
      </c>
      <c r="M109" s="3" t="s">
        <v>24</v>
      </c>
      <c r="N109" s="3" t="s">
        <v>24</v>
      </c>
      <c r="O109" s="4" t="s">
        <v>24</v>
      </c>
      <c r="P109" s="3" t="s">
        <v>24</v>
      </c>
      <c r="Q109" s="3" t="s">
        <v>24</v>
      </c>
      <c r="R109" s="3" t="s">
        <v>24</v>
      </c>
      <c r="S109" s="3" t="s">
        <v>24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26363000</v>
      </c>
      <c r="C114" s="3">
        <v>-361802000</v>
      </c>
      <c r="D114" s="3">
        <v>448100000</v>
      </c>
      <c r="E114" s="3">
        <v>450730000</v>
      </c>
      <c r="F114" s="3">
        <v>369552000</v>
      </c>
      <c r="G114" s="3">
        <v>447302000</v>
      </c>
      <c r="H114" s="3">
        <v>562691000</v>
      </c>
      <c r="I114" s="3">
        <v>933456000</v>
      </c>
      <c r="J114" s="3">
        <v>445477000</v>
      </c>
      <c r="K114" s="3">
        <v>362566000</v>
      </c>
      <c r="L114" s="3">
        <v>923407000</v>
      </c>
      <c r="M114" s="3">
        <v>902200000</v>
      </c>
      <c r="N114" s="3">
        <v>1336000000</v>
      </c>
      <c r="O114" s="4">
        <v>759300000</v>
      </c>
      <c r="P114" s="3">
        <v>803500000</v>
      </c>
      <c r="Q114" s="3">
        <v>1336000000</v>
      </c>
      <c r="R114" s="3">
        <v>726500000</v>
      </c>
      <c r="S114" s="3">
        <v>759300000</v>
      </c>
    </row>
    <row r="115" spans="1:19" ht="16" x14ac:dyDescent="0.2">
      <c r="A115" s="2" t="s">
        <v>121</v>
      </c>
      <c r="B115" s="3">
        <v>746690000</v>
      </c>
      <c r="C115" s="3">
        <v>400000000</v>
      </c>
      <c r="D115" s="3">
        <v>1524906000</v>
      </c>
      <c r="E115" s="3">
        <v>962636000</v>
      </c>
      <c r="F115" s="3">
        <v>1240126000</v>
      </c>
      <c r="G115" s="3">
        <v>1404365000</v>
      </c>
      <c r="H115" s="3">
        <v>1547640000</v>
      </c>
      <c r="I115" s="3">
        <v>1503708000</v>
      </c>
      <c r="J115" s="3">
        <v>1095213000</v>
      </c>
      <c r="K115" s="3">
        <v>1028699000</v>
      </c>
      <c r="L115" s="3">
        <v>1504883000</v>
      </c>
      <c r="M115" s="3">
        <v>1458900000</v>
      </c>
      <c r="N115" s="3">
        <v>1807600000</v>
      </c>
      <c r="O115" s="4">
        <v>1526900000</v>
      </c>
      <c r="P115" s="3">
        <v>1285500000</v>
      </c>
      <c r="Q115" s="3">
        <v>1807600000</v>
      </c>
      <c r="R115" s="3">
        <v>1515700000</v>
      </c>
      <c r="S115" s="3">
        <v>1526900000</v>
      </c>
    </row>
    <row r="116" spans="1:19" ht="16" x14ac:dyDescent="0.2">
      <c r="A116" s="2" t="s">
        <v>122</v>
      </c>
      <c r="B116" s="3">
        <v>1221473000</v>
      </c>
      <c r="C116" s="3">
        <v>1238768000</v>
      </c>
      <c r="D116" s="3">
        <v>1524906000</v>
      </c>
      <c r="E116" s="3">
        <v>962636000</v>
      </c>
      <c r="F116" s="3">
        <v>1240126000</v>
      </c>
      <c r="G116" s="3">
        <v>1404365000</v>
      </c>
      <c r="H116" s="3">
        <v>1555594000</v>
      </c>
      <c r="I116" s="3">
        <v>1503708000</v>
      </c>
      <c r="J116" s="3">
        <v>1810695000</v>
      </c>
      <c r="K116" s="3">
        <v>2233221000</v>
      </c>
      <c r="L116" s="3">
        <v>3064993000</v>
      </c>
      <c r="M116" s="3">
        <v>3332500000</v>
      </c>
      <c r="N116" s="3">
        <v>4238200000</v>
      </c>
      <c r="O116" s="4">
        <v>4879000000</v>
      </c>
      <c r="P116" s="3">
        <v>3676800000</v>
      </c>
      <c r="Q116" s="3">
        <v>4238200000</v>
      </c>
      <c r="R116" s="3">
        <v>4541900000</v>
      </c>
      <c r="S116" s="3">
        <v>4879000000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3949449000</v>
      </c>
      <c r="C118" s="3">
        <v>4202731000</v>
      </c>
      <c r="D118" s="3">
        <v>4521597000</v>
      </c>
      <c r="E118" s="3">
        <v>5323606000</v>
      </c>
      <c r="F118" s="3">
        <v>5779539000</v>
      </c>
      <c r="G118" s="3">
        <v>6199927000</v>
      </c>
      <c r="H118" s="3">
        <v>6509245000</v>
      </c>
      <c r="I118" s="3">
        <v>7159874000</v>
      </c>
      <c r="J118" s="3">
        <v>7424022000</v>
      </c>
      <c r="K118" s="3">
        <v>7940195000</v>
      </c>
      <c r="L118" s="3">
        <v>7896626000</v>
      </c>
      <c r="M118" s="3">
        <v>6883300000</v>
      </c>
      <c r="N118" s="3">
        <v>7389100000</v>
      </c>
      <c r="O118" s="4">
        <v>7371700000</v>
      </c>
      <c r="P118" s="3">
        <v>7228100000</v>
      </c>
      <c r="Q118" s="3">
        <v>7389100000</v>
      </c>
      <c r="R118" s="3">
        <v>7222800000</v>
      </c>
      <c r="S118" s="3">
        <v>7371700000</v>
      </c>
    </row>
    <row r="119" spans="1:19" ht="16" x14ac:dyDescent="0.2">
      <c r="A119" s="2" t="s">
        <v>125</v>
      </c>
      <c r="B119" s="3">
        <v>2016000</v>
      </c>
      <c r="C119" s="3">
        <v>2072000</v>
      </c>
      <c r="D119" s="3">
        <v>2149000</v>
      </c>
      <c r="E119" s="3">
        <v>2320000</v>
      </c>
      <c r="F119" s="3">
        <v>2385000</v>
      </c>
      <c r="G119" s="3">
        <v>2427000</v>
      </c>
      <c r="H119" s="3">
        <v>2450000</v>
      </c>
      <c r="I119" s="3">
        <v>2512000</v>
      </c>
      <c r="J119" s="3">
        <v>2546000</v>
      </c>
      <c r="K119" s="3">
        <v>2589000</v>
      </c>
      <c r="L119" s="3">
        <v>2599000</v>
      </c>
      <c r="M119" s="3">
        <v>2500000</v>
      </c>
      <c r="N119" s="3">
        <v>2600000</v>
      </c>
      <c r="O119" s="4">
        <v>2600000</v>
      </c>
      <c r="P119" s="3">
        <v>2600000</v>
      </c>
      <c r="Q119" s="3">
        <v>2600000</v>
      </c>
      <c r="R119" s="3">
        <v>2600000</v>
      </c>
      <c r="S119" s="3">
        <v>2600000</v>
      </c>
    </row>
    <row r="120" spans="1:19" ht="16" x14ac:dyDescent="0.2">
      <c r="A120" s="2" t="s">
        <v>126</v>
      </c>
      <c r="B120" s="3">
        <v>3947433000</v>
      </c>
      <c r="C120" s="3">
        <v>4200659000</v>
      </c>
      <c r="D120" s="3">
        <v>4519448000</v>
      </c>
      <c r="E120" s="3">
        <v>5321286000</v>
      </c>
      <c r="F120" s="3">
        <v>5777154000</v>
      </c>
      <c r="G120" s="3">
        <v>6197500000</v>
      </c>
      <c r="H120" s="3">
        <v>6506795000</v>
      </c>
      <c r="I120" s="3">
        <v>7157362000</v>
      </c>
      <c r="J120" s="3">
        <v>7421476000</v>
      </c>
      <c r="K120" s="3">
        <v>7937606000</v>
      </c>
      <c r="L120" s="3">
        <v>7894027000</v>
      </c>
      <c r="M120" s="3">
        <v>6880800000</v>
      </c>
      <c r="N120" s="3">
        <v>7386500000</v>
      </c>
      <c r="O120" s="4">
        <v>7369100000</v>
      </c>
      <c r="P120" s="3">
        <v>7225500000</v>
      </c>
      <c r="Q120" s="3">
        <v>7386500000</v>
      </c>
      <c r="R120" s="3">
        <v>7220200000</v>
      </c>
      <c r="S120" s="3">
        <v>7369100000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-3444409000</v>
      </c>
      <c r="C122" s="3">
        <v>-3414835000</v>
      </c>
      <c r="D122" s="3">
        <v>-3521867000</v>
      </c>
      <c r="E122" s="3">
        <v>-3966895000</v>
      </c>
      <c r="F122" s="3">
        <v>-4705450000</v>
      </c>
      <c r="G122" s="3">
        <v>-5261784000</v>
      </c>
      <c r="H122" s="3">
        <v>-5373836000</v>
      </c>
      <c r="I122" s="3">
        <v>-5119723000</v>
      </c>
      <c r="J122" s="3">
        <v>-2989478000</v>
      </c>
      <c r="K122" s="3">
        <v>-1852978000</v>
      </c>
      <c r="L122" s="3">
        <v>858669000</v>
      </c>
      <c r="M122" s="3">
        <v>3200800000</v>
      </c>
      <c r="N122" s="3">
        <v>6522800000</v>
      </c>
      <c r="O122" s="4">
        <v>8138300000</v>
      </c>
      <c r="P122" s="3">
        <v>5703900000</v>
      </c>
      <c r="Q122" s="3">
        <v>6522800000</v>
      </c>
      <c r="R122" s="3">
        <v>7222600000</v>
      </c>
      <c r="S122" s="3">
        <v>8138300000</v>
      </c>
    </row>
    <row r="123" spans="1:19" ht="16" x14ac:dyDescent="0.2">
      <c r="A123" s="2" t="s">
        <v>129</v>
      </c>
      <c r="B123" s="3">
        <v>-1067000</v>
      </c>
      <c r="C123" s="3">
        <v>-1053000</v>
      </c>
      <c r="D123" s="3">
        <v>-550000</v>
      </c>
      <c r="E123" s="3">
        <v>-306000</v>
      </c>
      <c r="F123" s="3">
        <v>917000</v>
      </c>
      <c r="G123" s="3">
        <v>1824000</v>
      </c>
      <c r="H123" s="3">
        <v>21173000</v>
      </c>
      <c r="I123" s="3">
        <v>-11572000</v>
      </c>
      <c r="J123" s="3">
        <v>659000</v>
      </c>
      <c r="K123" s="3">
        <v>-1973000</v>
      </c>
      <c r="L123" s="3">
        <v>-68480000</v>
      </c>
      <c r="M123" s="3">
        <v>15900000</v>
      </c>
      <c r="N123" s="3">
        <v>800000</v>
      </c>
      <c r="O123" s="4">
        <v>-39800000</v>
      </c>
      <c r="P123" s="3">
        <v>97600000</v>
      </c>
      <c r="Q123" s="3">
        <v>800000</v>
      </c>
      <c r="R123" s="3">
        <v>-13100000</v>
      </c>
      <c r="S123" s="3">
        <v>-39800000</v>
      </c>
    </row>
    <row r="124" spans="1:19" ht="16" x14ac:dyDescent="0.2">
      <c r="A124" s="2" t="s">
        <v>130</v>
      </c>
      <c r="B124" s="3">
        <v>503973000</v>
      </c>
      <c r="C124" s="3">
        <v>786843000</v>
      </c>
      <c r="D124" s="3">
        <v>999180000</v>
      </c>
      <c r="E124" s="3">
        <v>1356405000</v>
      </c>
      <c r="F124" s="3">
        <v>1075006000</v>
      </c>
      <c r="G124" s="3">
        <v>939019000</v>
      </c>
      <c r="H124" s="3">
        <v>1156582000</v>
      </c>
      <c r="I124" s="3">
        <v>2028579000</v>
      </c>
      <c r="J124" s="3">
        <v>4435203000</v>
      </c>
      <c r="K124" s="3">
        <v>6085244000</v>
      </c>
      <c r="L124" s="3">
        <v>8686815000</v>
      </c>
      <c r="M124" s="3">
        <v>10100000000</v>
      </c>
      <c r="N124" s="3">
        <v>13912700000</v>
      </c>
      <c r="O124" s="4">
        <v>15470200000</v>
      </c>
      <c r="P124" s="3">
        <v>13029600000</v>
      </c>
      <c r="Q124" s="3">
        <v>13912700000</v>
      </c>
      <c r="R124" s="3">
        <v>14432300000</v>
      </c>
      <c r="S124" s="3">
        <v>15470200000</v>
      </c>
    </row>
    <row r="125" spans="1:19" ht="16" x14ac:dyDescent="0.2">
      <c r="A125" s="2" t="s">
        <v>131</v>
      </c>
      <c r="B125" s="3" t="s">
        <v>24</v>
      </c>
      <c r="C125" s="3">
        <v>178669000</v>
      </c>
      <c r="D125" s="3">
        <v>235202000</v>
      </c>
      <c r="E125" s="3" t="s">
        <v>24</v>
      </c>
      <c r="F125" s="3">
        <v>21177000</v>
      </c>
      <c r="G125" s="3">
        <v>153661000</v>
      </c>
      <c r="H125" s="3">
        <v>181609000</v>
      </c>
      <c r="I125" s="3">
        <v>13727000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ht="16" x14ac:dyDescent="0.2">
      <c r="A126" s="2" t="s">
        <v>132</v>
      </c>
      <c r="B126" s="3">
        <v>503973000</v>
      </c>
      <c r="C126" s="3">
        <v>965512000</v>
      </c>
      <c r="D126" s="3">
        <v>1234382000</v>
      </c>
      <c r="E126" s="3">
        <v>1356405000</v>
      </c>
      <c r="F126" s="3">
        <v>1096183000</v>
      </c>
      <c r="G126" s="3">
        <v>1092680000</v>
      </c>
      <c r="H126" s="3">
        <v>1338191000</v>
      </c>
      <c r="I126" s="3">
        <v>2042306000</v>
      </c>
      <c r="J126" s="3">
        <v>4435203000</v>
      </c>
      <c r="K126" s="3">
        <v>6085244000</v>
      </c>
      <c r="L126" s="3">
        <v>8686815000</v>
      </c>
      <c r="M126" s="3">
        <v>10100000000</v>
      </c>
      <c r="N126" s="3">
        <v>13912700000</v>
      </c>
      <c r="O126" s="4">
        <v>15470200000</v>
      </c>
      <c r="P126" s="3">
        <v>13029600000</v>
      </c>
      <c r="Q126" s="3">
        <v>13912700000</v>
      </c>
      <c r="R126" s="3">
        <v>14432300000</v>
      </c>
      <c r="S126" s="3">
        <v>15470200000</v>
      </c>
    </row>
    <row r="127" spans="1:19" ht="16" x14ac:dyDescent="0.2">
      <c r="A127" s="2" t="s">
        <v>133</v>
      </c>
      <c r="B127" s="3">
        <v>1725446000</v>
      </c>
      <c r="C127" s="3">
        <v>2204280000</v>
      </c>
      <c r="D127" s="3">
        <v>2759288000</v>
      </c>
      <c r="E127" s="3">
        <v>2319041000</v>
      </c>
      <c r="F127" s="3">
        <v>2336309000</v>
      </c>
      <c r="G127" s="3">
        <v>2497045000</v>
      </c>
      <c r="H127" s="3">
        <v>2893785000</v>
      </c>
      <c r="I127" s="3">
        <v>3546014000</v>
      </c>
      <c r="J127" s="3">
        <v>6245898000</v>
      </c>
      <c r="K127" s="3">
        <v>8318465000</v>
      </c>
      <c r="L127" s="3">
        <v>11751808000</v>
      </c>
      <c r="M127" s="3">
        <v>13432500000</v>
      </c>
      <c r="N127" s="3">
        <v>18150900000</v>
      </c>
      <c r="O127" s="4">
        <v>20349200000</v>
      </c>
      <c r="P127" s="3">
        <v>16706400000</v>
      </c>
      <c r="Q127" s="3">
        <v>18150900000</v>
      </c>
      <c r="R127" s="3">
        <v>18974200000</v>
      </c>
      <c r="S127" s="3">
        <v>20349200000</v>
      </c>
    </row>
    <row r="128" spans="1:19" ht="16" x14ac:dyDescent="0.2">
      <c r="A128" s="32" t="s">
        <v>134</v>
      </c>
      <c r="B128" s="30">
        <v>203522976</v>
      </c>
      <c r="C128" s="30">
        <v>209303995</v>
      </c>
      <c r="D128" s="30">
        <v>217286868</v>
      </c>
      <c r="E128" s="30">
        <v>233788852</v>
      </c>
      <c r="F128" s="30">
        <v>241764398</v>
      </c>
      <c r="G128" s="30">
        <v>246306818</v>
      </c>
      <c r="H128" s="30">
        <v>248300517</v>
      </c>
      <c r="I128" s="30">
        <v>253253362</v>
      </c>
      <c r="J128" s="30">
        <v>255172328</v>
      </c>
      <c r="K128" s="30">
        <v>258993000</v>
      </c>
      <c r="L128" s="30">
        <v>259890000</v>
      </c>
      <c r="M128" s="30">
        <v>254479046</v>
      </c>
      <c r="N128" s="30">
        <v>257011628</v>
      </c>
      <c r="O128" s="31">
        <v>257792648</v>
      </c>
      <c r="P128" s="30">
        <v>256645737</v>
      </c>
      <c r="Q128" s="30">
        <v>257011628</v>
      </c>
      <c r="R128" s="30">
        <v>257509761</v>
      </c>
      <c r="S128" s="30">
        <v>257792648</v>
      </c>
    </row>
    <row r="129" spans="1:30" ht="19" x14ac:dyDescent="0.25">
      <c r="A129" s="15" t="s">
        <v>197</v>
      </c>
      <c r="B129" s="10"/>
      <c r="C129" s="11">
        <f>(C128/B128)-1</f>
        <v>2.8404748759176979E-2</v>
      </c>
      <c r="D129" s="11">
        <f>(D128/C128)-1</f>
        <v>3.8140089012634437E-2</v>
      </c>
      <c r="E129" s="11">
        <f>(E128/D128)-1</f>
        <v>7.5945611218437792E-2</v>
      </c>
      <c r="F129" s="11">
        <f t="shared" ref="F129:N129" si="6">(F128/E128)-1</f>
        <v>3.4114312687586912E-2</v>
      </c>
      <c r="G129" s="11">
        <f t="shared" si="6"/>
        <v>1.8788622467068139E-2</v>
      </c>
      <c r="H129" s="11">
        <f t="shared" si="6"/>
        <v>8.0943719552253324E-3</v>
      </c>
      <c r="I129" s="11">
        <f t="shared" si="6"/>
        <v>1.9946978201418775E-2</v>
      </c>
      <c r="J129" s="11">
        <f t="shared" si="6"/>
        <v>7.577257750284172E-3</v>
      </c>
      <c r="K129" s="11">
        <f t="shared" si="6"/>
        <v>1.4972908817918462E-2</v>
      </c>
      <c r="L129" s="11">
        <f t="shared" si="6"/>
        <v>3.4634140691061077E-3</v>
      </c>
      <c r="M129" s="11">
        <f t="shared" si="6"/>
        <v>-2.082017007195347E-2</v>
      </c>
      <c r="N129" s="11">
        <f t="shared" si="6"/>
        <v>9.9520256768017568E-3</v>
      </c>
      <c r="O129" s="11">
        <f>(O128/N128)-1</f>
        <v>3.0388508336285369E-3</v>
      </c>
      <c r="P129" s="11"/>
      <c r="Q129" s="11">
        <f>(Q128/P128)-1</f>
        <v>1.4256656053477368E-3</v>
      </c>
      <c r="R129" s="11">
        <f>(R128/Q128)-1</f>
        <v>1.9381730074874426E-3</v>
      </c>
      <c r="S129" s="11">
        <f>(S128/R128)-1</f>
        <v>1.0985486488024332E-3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ht="16" x14ac:dyDescent="0.2">
      <c r="A130" s="2" t="s">
        <v>135</v>
      </c>
      <c r="B130" s="3" t="s">
        <v>24</v>
      </c>
      <c r="C130" s="3">
        <v>55950000</v>
      </c>
      <c r="D130" s="3">
        <v>286338000</v>
      </c>
      <c r="E130" s="3">
        <v>457830000</v>
      </c>
      <c r="F130" s="3">
        <v>548329000</v>
      </c>
      <c r="G130" s="3">
        <v>540712000</v>
      </c>
      <c r="H130" s="3">
        <v>560677000</v>
      </c>
      <c r="I130" s="3">
        <v>586442000</v>
      </c>
      <c r="J130" s="3">
        <v>576980000</v>
      </c>
      <c r="K130" s="3">
        <v>607664000</v>
      </c>
      <c r="L130" s="3">
        <v>623910000</v>
      </c>
      <c r="M130" s="3">
        <v>603600000</v>
      </c>
      <c r="N130" s="3">
        <v>561000000</v>
      </c>
      <c r="O130" s="4">
        <v>767600000</v>
      </c>
      <c r="P130" s="3">
        <v>482000000</v>
      </c>
      <c r="Q130" s="3">
        <v>561000000</v>
      </c>
      <c r="R130" s="3">
        <v>789200000</v>
      </c>
      <c r="S130" s="3">
        <v>767600000</v>
      </c>
    </row>
    <row r="131" spans="1:30" ht="16" x14ac:dyDescent="0.2">
      <c r="A131" s="2" t="s">
        <v>136</v>
      </c>
      <c r="B131" s="3">
        <v>293794000</v>
      </c>
      <c r="C131" s="3">
        <v>-75320000</v>
      </c>
      <c r="D131" s="3">
        <v>-89407000</v>
      </c>
      <c r="E131" s="3">
        <v>-569299000</v>
      </c>
      <c r="F131" s="3">
        <v>-316278000</v>
      </c>
      <c r="G131" s="3">
        <v>-347843000</v>
      </c>
      <c r="H131" s="3">
        <v>-586947000</v>
      </c>
      <c r="I131" s="3">
        <v>-1665412000</v>
      </c>
      <c r="J131" s="3">
        <v>-2650134000</v>
      </c>
      <c r="K131" s="3">
        <v>-3109322000</v>
      </c>
      <c r="L131" s="3">
        <v>-5988187000</v>
      </c>
      <c r="M131" s="3">
        <v>-6795000000</v>
      </c>
      <c r="N131" s="3">
        <v>-10504000000</v>
      </c>
      <c r="O131" s="4">
        <v>-10151100000</v>
      </c>
      <c r="P131" s="3">
        <v>-9171500000</v>
      </c>
      <c r="Q131" s="3">
        <v>-10504000000</v>
      </c>
      <c r="R131" s="3">
        <v>-9289900000</v>
      </c>
      <c r="S131" s="3">
        <v>-10151100000</v>
      </c>
    </row>
    <row r="132" spans="1:30" ht="16" x14ac:dyDescent="0.2">
      <c r="A132" s="2" t="s">
        <v>137</v>
      </c>
      <c r="B132" s="5">
        <v>58.3</v>
      </c>
      <c r="C132" s="5">
        <v>-7.8</v>
      </c>
      <c r="D132" s="5">
        <v>-7.24</v>
      </c>
      <c r="E132" s="5">
        <v>-41.97</v>
      </c>
      <c r="F132" s="5">
        <v>-28.85</v>
      </c>
      <c r="G132" s="5">
        <v>-31.83</v>
      </c>
      <c r="H132" s="5">
        <v>-43.86</v>
      </c>
      <c r="I132" s="5">
        <v>-81.55</v>
      </c>
      <c r="J132" s="5">
        <v>-59.75</v>
      </c>
      <c r="K132" s="5">
        <v>-51.1</v>
      </c>
      <c r="L132" s="5">
        <v>-68.930000000000007</v>
      </c>
      <c r="M132" s="5">
        <v>-67.28</v>
      </c>
      <c r="N132" s="5">
        <v>-75.5</v>
      </c>
      <c r="O132" s="6">
        <v>-65.62</v>
      </c>
      <c r="P132" s="5">
        <v>-70.39</v>
      </c>
      <c r="Q132" s="5">
        <v>-75.5</v>
      </c>
      <c r="R132" s="5">
        <v>-64.37</v>
      </c>
      <c r="S132" s="5">
        <v>-65.62</v>
      </c>
    </row>
    <row r="133" spans="1:30" ht="16" x14ac:dyDescent="0.2">
      <c r="A133" s="2" t="s">
        <v>138</v>
      </c>
      <c r="B133" s="5">
        <v>-3.46</v>
      </c>
      <c r="C133" s="5">
        <v>17.95</v>
      </c>
      <c r="D133" s="5">
        <v>26.15</v>
      </c>
      <c r="E133" s="5">
        <v>57.93</v>
      </c>
      <c r="F133" s="5">
        <v>45.31</v>
      </c>
      <c r="G133" s="5">
        <v>35.049999999999997</v>
      </c>
      <c r="H133" s="5">
        <v>39.21</v>
      </c>
      <c r="I133" s="5">
        <v>56.62</v>
      </c>
      <c r="J133" s="5">
        <v>70.77</v>
      </c>
      <c r="K133" s="5">
        <v>67.709999999999994</v>
      </c>
      <c r="L133" s="5">
        <v>70.39</v>
      </c>
      <c r="M133" s="5">
        <v>72.3</v>
      </c>
      <c r="N133" s="5">
        <v>74.25</v>
      </c>
      <c r="O133" s="6">
        <v>73.849999999999994</v>
      </c>
      <c r="P133" s="5">
        <v>75.53</v>
      </c>
      <c r="Q133" s="5">
        <v>74.25</v>
      </c>
      <c r="R133" s="5">
        <v>73.72</v>
      </c>
      <c r="S133" s="5">
        <v>73.849999999999994</v>
      </c>
    </row>
    <row r="134" spans="1:30" ht="16" x14ac:dyDescent="0.2">
      <c r="A134" s="2" t="s">
        <v>139</v>
      </c>
      <c r="B134" s="5">
        <v>2.23</v>
      </c>
      <c r="C134" s="5">
        <v>1.59</v>
      </c>
      <c r="D134" s="5">
        <v>3.67</v>
      </c>
      <c r="E134" s="5">
        <v>3.99</v>
      </c>
      <c r="F134" s="5">
        <v>4.2</v>
      </c>
      <c r="G134" s="5">
        <v>2.68</v>
      </c>
      <c r="H134" s="5">
        <v>221.4</v>
      </c>
      <c r="I134" s="5">
        <v>3.08</v>
      </c>
      <c r="J134" s="5">
        <v>5.17</v>
      </c>
      <c r="K134" s="5">
        <v>3.83</v>
      </c>
      <c r="L134" s="5">
        <v>5.0199999999999996</v>
      </c>
      <c r="M134" s="5">
        <v>4.8099999999999996</v>
      </c>
      <c r="N134" s="5">
        <v>5.22</v>
      </c>
      <c r="O134" s="6">
        <v>4.1399999999999997</v>
      </c>
      <c r="P134" s="5">
        <v>4.83</v>
      </c>
      <c r="Q134" s="5">
        <v>5.22</v>
      </c>
      <c r="R134" s="5">
        <v>4.28</v>
      </c>
      <c r="S134" s="5">
        <v>4.1399999999999997</v>
      </c>
    </row>
    <row r="135" spans="1:30" ht="16" x14ac:dyDescent="0.2">
      <c r="A135" s="2" t="s">
        <v>140</v>
      </c>
      <c r="B135" s="5">
        <v>-1016.08</v>
      </c>
      <c r="C135" s="5">
        <v>175.67</v>
      </c>
      <c r="D135" s="5">
        <v>-30.05</v>
      </c>
      <c r="E135" s="5">
        <v>-144.27000000000001</v>
      </c>
      <c r="F135" s="5">
        <v>-98.64</v>
      </c>
      <c r="G135" s="5">
        <v>-6.2</v>
      </c>
      <c r="H135" s="5">
        <v>49.23</v>
      </c>
      <c r="I135" s="5">
        <v>81.13</v>
      </c>
      <c r="J135" s="5">
        <v>66.650000000000006</v>
      </c>
      <c r="K135" s="5">
        <v>81.64</v>
      </c>
      <c r="L135" s="5">
        <v>103.63</v>
      </c>
      <c r="M135" s="5">
        <v>111.22</v>
      </c>
      <c r="N135" s="5">
        <v>113.51</v>
      </c>
      <c r="O135" s="6">
        <v>135.86000000000001</v>
      </c>
      <c r="P135" s="5">
        <v>135.94</v>
      </c>
      <c r="Q135" s="5">
        <v>113.51</v>
      </c>
      <c r="R135" s="5">
        <v>131.25</v>
      </c>
      <c r="S135" s="5">
        <v>135.86000000000001</v>
      </c>
    </row>
    <row r="136" spans="1:30" ht="16" x14ac:dyDescent="0.2">
      <c r="A136" s="2" t="s">
        <v>141</v>
      </c>
      <c r="B136" s="3">
        <v>1691</v>
      </c>
      <c r="C136" s="3">
        <v>2000</v>
      </c>
      <c r="D136" s="3">
        <v>2200</v>
      </c>
      <c r="E136" s="3">
        <v>1800</v>
      </c>
      <c r="F136" s="3">
        <v>1830</v>
      </c>
      <c r="G136" s="3">
        <v>1950</v>
      </c>
      <c r="H136" s="3">
        <v>2150</v>
      </c>
      <c r="I136" s="3">
        <v>2300</v>
      </c>
      <c r="J136" s="3">
        <v>2500</v>
      </c>
      <c r="K136" s="3">
        <v>3000</v>
      </c>
      <c r="L136" s="3">
        <v>3400</v>
      </c>
      <c r="M136" s="3">
        <v>3900</v>
      </c>
      <c r="N136" s="3">
        <v>4800</v>
      </c>
      <c r="O136" s="4">
        <v>4800</v>
      </c>
      <c r="P136" s="3">
        <v>3900</v>
      </c>
      <c r="Q136" s="3">
        <v>4800</v>
      </c>
      <c r="R136" s="3">
        <v>4800</v>
      </c>
      <c r="S136" s="3">
        <v>4800</v>
      </c>
    </row>
    <row r="138" spans="1:30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ht="16" x14ac:dyDescent="0.2">
      <c r="A139" s="2" t="s">
        <v>142</v>
      </c>
      <c r="B139" s="3">
        <v>-754626000</v>
      </c>
      <c r="C139" s="3">
        <v>41179000</v>
      </c>
      <c r="D139" s="3">
        <v>-51135000</v>
      </c>
      <c r="E139" s="3">
        <v>-687550000</v>
      </c>
      <c r="F139" s="3">
        <v>-742745000</v>
      </c>
      <c r="G139" s="3">
        <v>-588181000</v>
      </c>
      <c r="H139" s="3">
        <v>-84031000</v>
      </c>
      <c r="I139" s="3">
        <v>91635000</v>
      </c>
      <c r="J139" s="3">
        <v>2087103000</v>
      </c>
      <c r="K139" s="3">
        <v>1176810000</v>
      </c>
      <c r="L139" s="3">
        <v>2711647000</v>
      </c>
      <c r="M139" s="3">
        <v>2342100000</v>
      </c>
      <c r="N139" s="3">
        <v>3322000000</v>
      </c>
      <c r="O139" s="4">
        <v>3364900000</v>
      </c>
      <c r="P139" s="3">
        <v>930500000</v>
      </c>
      <c r="Q139" s="3">
        <v>818900000</v>
      </c>
      <c r="R139" s="3">
        <v>699800000</v>
      </c>
      <c r="S139" s="3">
        <v>915700000</v>
      </c>
    </row>
    <row r="140" spans="1:30" ht="16" x14ac:dyDescent="0.2">
      <c r="A140" s="2" t="s">
        <v>143</v>
      </c>
      <c r="B140" s="3">
        <v>30459000</v>
      </c>
      <c r="C140" s="3">
        <v>35041000</v>
      </c>
      <c r="D140" s="3">
        <v>38191000</v>
      </c>
      <c r="E140" s="3">
        <v>48365000</v>
      </c>
      <c r="F140" s="3">
        <v>63257000</v>
      </c>
      <c r="G140" s="3">
        <v>62343000</v>
      </c>
      <c r="H140" s="3">
        <v>61398000</v>
      </c>
      <c r="I140" s="3">
        <v>61397000</v>
      </c>
      <c r="J140" s="3">
        <v>72420000</v>
      </c>
      <c r="K140" s="3">
        <v>106941000</v>
      </c>
      <c r="L140" s="3">
        <v>109515000</v>
      </c>
      <c r="M140" s="3">
        <v>125600000</v>
      </c>
      <c r="N140" s="3">
        <v>148300000</v>
      </c>
      <c r="O140" s="4">
        <v>155300000</v>
      </c>
      <c r="P140" s="3">
        <v>36700000</v>
      </c>
      <c r="Q140" s="3">
        <v>38400000</v>
      </c>
      <c r="R140" s="3">
        <v>38800000</v>
      </c>
      <c r="S140" s="3">
        <v>41400000</v>
      </c>
    </row>
    <row r="141" spans="1:30" ht="16" x14ac:dyDescent="0.2">
      <c r="A141" s="2" t="s">
        <v>144</v>
      </c>
      <c r="B141" s="3">
        <v>152502000</v>
      </c>
      <c r="C141" s="3">
        <v>260579000</v>
      </c>
      <c r="D141" s="3">
        <v>294573000</v>
      </c>
      <c r="E141" s="3">
        <v>592666000</v>
      </c>
      <c r="F141" s="3">
        <v>177352000</v>
      </c>
      <c r="G141" s="3">
        <v>246356000</v>
      </c>
      <c r="H141" s="3">
        <v>260806000</v>
      </c>
      <c r="I141" s="3">
        <v>676646000</v>
      </c>
      <c r="J141" s="3">
        <v>-1127257000</v>
      </c>
      <c r="K141" s="3">
        <v>351680000</v>
      </c>
      <c r="L141" s="3">
        <v>486797000</v>
      </c>
      <c r="M141" s="3">
        <v>281000000</v>
      </c>
      <c r="N141" s="3">
        <v>318800000</v>
      </c>
      <c r="O141" s="4">
        <v>173800000</v>
      </c>
      <c r="P141" s="3">
        <v>-92500000</v>
      </c>
      <c r="Q141" s="3">
        <v>312000000</v>
      </c>
      <c r="R141" s="3">
        <v>22400000</v>
      </c>
      <c r="S141" s="3">
        <v>-68100000</v>
      </c>
    </row>
    <row r="142" spans="1:30" ht="16" x14ac:dyDescent="0.2">
      <c r="A142" s="32" t="s">
        <v>145</v>
      </c>
      <c r="B142" s="30">
        <v>97676000</v>
      </c>
      <c r="C142" s="30">
        <v>126751000</v>
      </c>
      <c r="D142" s="30">
        <v>114285000</v>
      </c>
      <c r="E142" s="30">
        <v>127303000</v>
      </c>
      <c r="F142" s="30">
        <v>177542000</v>
      </c>
      <c r="G142" s="30">
        <v>231025000</v>
      </c>
      <c r="H142" s="30">
        <v>237705000</v>
      </c>
      <c r="I142" s="30">
        <v>290736000</v>
      </c>
      <c r="J142" s="30">
        <v>325047000</v>
      </c>
      <c r="K142" s="30">
        <v>360489000</v>
      </c>
      <c r="L142" s="30">
        <v>429461000</v>
      </c>
      <c r="M142" s="30">
        <v>441400000</v>
      </c>
      <c r="N142" s="30">
        <v>491300000</v>
      </c>
      <c r="O142" s="31">
        <v>488800000</v>
      </c>
      <c r="P142" s="30">
        <v>135600000</v>
      </c>
      <c r="Q142" s="30">
        <v>111500000</v>
      </c>
      <c r="R142" s="30">
        <v>122400000</v>
      </c>
      <c r="S142" s="30">
        <v>119300000</v>
      </c>
    </row>
    <row r="143" spans="1:30" ht="19" x14ac:dyDescent="0.25">
      <c r="A143" s="14" t="s">
        <v>198</v>
      </c>
      <c r="B143" s="21">
        <f t="shared" ref="B143:S143" si="7">B142/B2</f>
        <v>0.68128618260445006</v>
      </c>
      <c r="C143" s="21">
        <f t="shared" si="7"/>
        <v>8.9854433421757432E-2</v>
      </c>
      <c r="D143" s="21">
        <f t="shared" si="7"/>
        <v>7.4840770587842373E-2</v>
      </c>
      <c r="E143" s="21">
        <f t="shared" si="7"/>
        <v>0.10503764516594814</v>
      </c>
      <c r="F143" s="21">
        <f t="shared" si="7"/>
        <v>0.30588802839347706</v>
      </c>
      <c r="G143" s="21">
        <f t="shared" si="7"/>
        <v>0.22378857271276018</v>
      </c>
      <c r="H143" s="21">
        <f t="shared" si="7"/>
        <v>0.13964763946405104</v>
      </c>
      <c r="I143" s="21">
        <f t="shared" si="7"/>
        <v>0.11682469063573372</v>
      </c>
      <c r="J143" s="21">
        <f t="shared" si="7"/>
        <v>0.10665681847042112</v>
      </c>
      <c r="K143" s="21">
        <f t="shared" si="7"/>
        <v>8.6597285830930515E-2</v>
      </c>
      <c r="L143" s="21">
        <f t="shared" si="7"/>
        <v>6.9204469516087108E-2</v>
      </c>
      <c r="M143" s="21">
        <f t="shared" si="7"/>
        <v>5.8275242923531895E-2</v>
      </c>
      <c r="N143" s="21">
        <f t="shared" si="7"/>
        <v>5.5012485023570382E-2</v>
      </c>
      <c r="O143" s="21">
        <f t="shared" si="7"/>
        <v>5.1425565491846396E-2</v>
      </c>
      <c r="P143" s="21">
        <f t="shared" si="7"/>
        <v>5.80902197660969E-2</v>
      </c>
      <c r="Q143" s="21">
        <f t="shared" si="7"/>
        <v>4.8421418334998044E-2</v>
      </c>
      <c r="R143" s="21">
        <f t="shared" si="7"/>
        <v>5.1541182415361292E-2</v>
      </c>
      <c r="S143" s="21">
        <f t="shared" si="7"/>
        <v>4.7850152414567623E-2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ht="16" x14ac:dyDescent="0.2">
      <c r="A144" s="2" t="s">
        <v>146</v>
      </c>
      <c r="B144" s="3" t="s">
        <v>24</v>
      </c>
      <c r="C144" s="3">
        <v>-7501000</v>
      </c>
      <c r="D144" s="3">
        <v>36660000</v>
      </c>
      <c r="E144" s="3">
        <v>-285053000</v>
      </c>
      <c r="F144" s="3">
        <v>281000</v>
      </c>
      <c r="G144" s="3">
        <v>3283000</v>
      </c>
      <c r="H144" s="3">
        <v>16961000</v>
      </c>
      <c r="I144" s="3">
        <v>-120513000</v>
      </c>
      <c r="J144" s="3">
        <v>-1512325000</v>
      </c>
      <c r="K144" s="3">
        <v>167387000</v>
      </c>
      <c r="L144" s="3">
        <v>277341000</v>
      </c>
      <c r="M144" s="3">
        <v>-154600000</v>
      </c>
      <c r="N144" s="3">
        <v>-275900000</v>
      </c>
      <c r="O144" s="4">
        <v>-324200000</v>
      </c>
      <c r="P144" s="3">
        <v>-182300000</v>
      </c>
      <c r="Q144" s="3">
        <v>148100000</v>
      </c>
      <c r="R144" s="3">
        <v>-113400000</v>
      </c>
      <c r="S144" s="3">
        <v>-176600000</v>
      </c>
    </row>
    <row r="145" spans="1:19" ht="16" x14ac:dyDescent="0.2">
      <c r="A145" s="2" t="s">
        <v>147</v>
      </c>
      <c r="B145" s="3" t="s">
        <v>24</v>
      </c>
      <c r="C145" s="3">
        <v>105800000</v>
      </c>
      <c r="D145" s="3">
        <v>133189000</v>
      </c>
      <c r="E145" s="3">
        <v>673858000</v>
      </c>
      <c r="F145" s="3">
        <v>1689000</v>
      </c>
      <c r="G145" s="3">
        <v>2516000</v>
      </c>
      <c r="H145" s="3" t="s">
        <v>24</v>
      </c>
      <c r="I145" s="3">
        <v>272583000</v>
      </c>
      <c r="J145" s="3">
        <v>49413000</v>
      </c>
      <c r="K145" s="3" t="s">
        <v>24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54826000</v>
      </c>
      <c r="C146" s="3">
        <v>35529000</v>
      </c>
      <c r="D146" s="3">
        <v>10439000</v>
      </c>
      <c r="E146" s="3">
        <v>76558000</v>
      </c>
      <c r="F146" s="3">
        <v>-2160000</v>
      </c>
      <c r="G146" s="3">
        <v>9532000</v>
      </c>
      <c r="H146" s="3">
        <v>6140000</v>
      </c>
      <c r="I146" s="3">
        <v>233840000</v>
      </c>
      <c r="J146" s="3">
        <v>10608000</v>
      </c>
      <c r="K146" s="3">
        <v>-176196000</v>
      </c>
      <c r="L146" s="3">
        <v>-220005000</v>
      </c>
      <c r="M146" s="3">
        <v>-5800000</v>
      </c>
      <c r="N146" s="3">
        <v>103400000</v>
      </c>
      <c r="O146" s="4">
        <v>9200000</v>
      </c>
      <c r="P146" s="3">
        <v>-45800000</v>
      </c>
      <c r="Q146" s="3">
        <v>52400000</v>
      </c>
      <c r="R146" s="3">
        <v>13400000</v>
      </c>
      <c r="S146" s="3">
        <v>-10800000</v>
      </c>
    </row>
    <row r="147" spans="1:19" ht="16" x14ac:dyDescent="0.2">
      <c r="A147" s="2" t="s">
        <v>149</v>
      </c>
      <c r="B147" s="3">
        <v>-63777000</v>
      </c>
      <c r="C147" s="3">
        <v>-193064000</v>
      </c>
      <c r="D147" s="3">
        <v>-13788000</v>
      </c>
      <c r="E147" s="3">
        <v>-5051000</v>
      </c>
      <c r="F147" s="3">
        <v>-11063000</v>
      </c>
      <c r="G147" s="3">
        <v>-85950000</v>
      </c>
      <c r="H147" s="3">
        <v>-2070000</v>
      </c>
      <c r="I147" s="3">
        <v>15264000</v>
      </c>
      <c r="J147" s="3">
        <v>238020000</v>
      </c>
      <c r="K147" s="3">
        <v>-66101000</v>
      </c>
      <c r="L147" s="3">
        <v>-54454000</v>
      </c>
      <c r="M147" s="3">
        <v>-105200000</v>
      </c>
      <c r="N147" s="3">
        <v>340800000</v>
      </c>
      <c r="O147" s="4">
        <v>374200000</v>
      </c>
      <c r="P147" s="3">
        <v>80800000</v>
      </c>
      <c r="Q147" s="3">
        <v>-90900000</v>
      </c>
      <c r="R147" s="3">
        <v>138900000</v>
      </c>
      <c r="S147" s="3">
        <v>245400000</v>
      </c>
    </row>
    <row r="148" spans="1:19" ht="16" x14ac:dyDescent="0.2">
      <c r="A148" s="2" t="s">
        <v>150</v>
      </c>
      <c r="B148" s="3">
        <v>-2923000</v>
      </c>
      <c r="C148" s="3">
        <v>-170606000</v>
      </c>
      <c r="D148" s="3">
        <v>39912000</v>
      </c>
      <c r="E148" s="3">
        <v>53363000</v>
      </c>
      <c r="F148" s="3">
        <v>7428000</v>
      </c>
      <c r="G148" s="3">
        <v>-104847000</v>
      </c>
      <c r="H148" s="3">
        <v>-33027000</v>
      </c>
      <c r="I148" s="3">
        <v>-71759000</v>
      </c>
      <c r="J148" s="3">
        <v>-108152000</v>
      </c>
      <c r="K148" s="3">
        <v>-225587000</v>
      </c>
      <c r="L148" s="3">
        <v>-223444000</v>
      </c>
      <c r="M148" s="3">
        <v>-274700000</v>
      </c>
      <c r="N148" s="3">
        <v>-358600000</v>
      </c>
      <c r="O148" s="4">
        <v>-202700000</v>
      </c>
      <c r="P148" s="3">
        <v>-119500000</v>
      </c>
      <c r="Q148" s="3">
        <v>10200000</v>
      </c>
      <c r="R148" s="3">
        <v>-90500000</v>
      </c>
      <c r="S148" s="3">
        <v>-2900000</v>
      </c>
    </row>
    <row r="149" spans="1:19" ht="16" x14ac:dyDescent="0.2">
      <c r="A149" s="2" t="s">
        <v>151</v>
      </c>
      <c r="B149" s="3" t="s">
        <v>24</v>
      </c>
      <c r="C149" s="3">
        <v>-111388000</v>
      </c>
      <c r="D149" s="3">
        <v>-29925000</v>
      </c>
      <c r="E149" s="3">
        <v>7142000</v>
      </c>
      <c r="F149" s="3">
        <v>-16469000</v>
      </c>
      <c r="G149" s="3">
        <v>-23146000</v>
      </c>
      <c r="H149" s="3">
        <v>-16450000</v>
      </c>
      <c r="I149" s="3">
        <v>-44984000</v>
      </c>
      <c r="J149" s="3">
        <v>-31965000</v>
      </c>
      <c r="K149" s="3">
        <v>-64047000</v>
      </c>
      <c r="L149" s="3">
        <v>-132014000</v>
      </c>
      <c r="M149" s="3">
        <v>-92800000</v>
      </c>
      <c r="N149" s="3">
        <v>-136400000</v>
      </c>
      <c r="O149" s="4">
        <v>-260500000</v>
      </c>
      <c r="P149" s="3">
        <v>-26800000</v>
      </c>
      <c r="Q149" s="3">
        <v>-78300000</v>
      </c>
      <c r="R149" s="3">
        <v>-82600000</v>
      </c>
      <c r="S149" s="3">
        <v>-72800000</v>
      </c>
    </row>
    <row r="150" spans="1:19" ht="16" x14ac:dyDescent="0.2">
      <c r="A150" s="2" t="s">
        <v>152</v>
      </c>
      <c r="B150" s="3">
        <v>-600000</v>
      </c>
      <c r="C150" s="3">
        <v>-1717000</v>
      </c>
      <c r="D150" s="3">
        <v>-12259000</v>
      </c>
      <c r="E150" s="3">
        <v>-12061000</v>
      </c>
      <c r="F150" s="3">
        <v>-15771000</v>
      </c>
      <c r="G150" s="3">
        <v>-9260000</v>
      </c>
      <c r="H150" s="3">
        <v>-8699000</v>
      </c>
      <c r="I150" s="3">
        <v>-111063000</v>
      </c>
      <c r="J150" s="3">
        <v>16684000</v>
      </c>
      <c r="K150" s="3">
        <v>35440000</v>
      </c>
      <c r="L150" s="3">
        <v>-297562000</v>
      </c>
      <c r="M150" s="3">
        <v>-91800000</v>
      </c>
      <c r="N150" s="3">
        <v>-326400000</v>
      </c>
      <c r="O150" s="4">
        <v>-385100000</v>
      </c>
      <c r="P150" s="3">
        <v>-127200000</v>
      </c>
      <c r="Q150" s="3">
        <v>-284500000</v>
      </c>
      <c r="R150" s="3">
        <v>46200000</v>
      </c>
      <c r="S150" s="3">
        <v>-19600000</v>
      </c>
    </row>
    <row r="151" spans="1:19" ht="16" x14ac:dyDescent="0.2">
      <c r="A151" s="2" t="s">
        <v>153</v>
      </c>
      <c r="B151" s="3">
        <v>5609000</v>
      </c>
      <c r="C151" s="3">
        <v>163083000</v>
      </c>
      <c r="D151" s="3">
        <v>29779000</v>
      </c>
      <c r="E151" s="3">
        <v>-484000</v>
      </c>
      <c r="F151" s="3">
        <v>39280000</v>
      </c>
      <c r="G151" s="3">
        <v>70545000</v>
      </c>
      <c r="H151" s="3">
        <v>69478000</v>
      </c>
      <c r="I151" s="3">
        <v>248983000</v>
      </c>
      <c r="J151" s="3">
        <v>361453000</v>
      </c>
      <c r="K151" s="3">
        <v>150096000</v>
      </c>
      <c r="L151" s="3">
        <v>173474000</v>
      </c>
      <c r="M151" s="3">
        <v>337300000</v>
      </c>
      <c r="N151" s="3">
        <v>663300000</v>
      </c>
      <c r="O151" s="4">
        <v>574100000</v>
      </c>
      <c r="P151" s="3">
        <v>363300000</v>
      </c>
      <c r="Q151" s="3">
        <v>-277900000</v>
      </c>
      <c r="R151" s="3">
        <v>176400000</v>
      </c>
      <c r="S151" s="3">
        <v>312300000</v>
      </c>
    </row>
    <row r="152" spans="1:19" ht="16" x14ac:dyDescent="0.2">
      <c r="A152" s="2" t="s">
        <v>154</v>
      </c>
      <c r="B152" s="3">
        <v>-65863000</v>
      </c>
      <c r="C152" s="3">
        <v>-72436000</v>
      </c>
      <c r="D152" s="3">
        <v>-41295000</v>
      </c>
      <c r="E152" s="3">
        <v>-53011000</v>
      </c>
      <c r="F152" s="3">
        <v>-25531000</v>
      </c>
      <c r="G152" s="3">
        <v>-19242000</v>
      </c>
      <c r="H152" s="3">
        <v>-13372000</v>
      </c>
      <c r="I152" s="3">
        <v>-5913000</v>
      </c>
      <c r="J152" s="3" t="s">
        <v>24</v>
      </c>
      <c r="K152" s="3">
        <v>37997000</v>
      </c>
      <c r="L152" s="3">
        <v>425092000</v>
      </c>
      <c r="M152" s="3">
        <v>16800000</v>
      </c>
      <c r="N152" s="3">
        <v>498900000</v>
      </c>
      <c r="O152" s="4">
        <v>648400000</v>
      </c>
      <c r="P152" s="3">
        <v>-9000000</v>
      </c>
      <c r="Q152" s="3">
        <v>539600000</v>
      </c>
      <c r="R152" s="3">
        <v>89400000</v>
      </c>
      <c r="S152" s="3">
        <v>28400000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-635442000</v>
      </c>
      <c r="C154" s="3">
        <v>143735000</v>
      </c>
      <c r="D154" s="3">
        <v>267841000</v>
      </c>
      <c r="E154" s="3">
        <v>-51570000</v>
      </c>
      <c r="F154" s="3">
        <v>-513199000</v>
      </c>
      <c r="G154" s="3">
        <v>-365432000</v>
      </c>
      <c r="H154" s="3">
        <v>236103000</v>
      </c>
      <c r="I154" s="3">
        <v>844942000</v>
      </c>
      <c r="J154" s="3">
        <v>1270286000</v>
      </c>
      <c r="K154" s="3">
        <v>1569330000</v>
      </c>
      <c r="L154" s="3">
        <v>3253505000</v>
      </c>
      <c r="M154" s="3">
        <v>2643500000</v>
      </c>
      <c r="N154" s="3">
        <v>4129900000</v>
      </c>
      <c r="O154" s="4">
        <v>4068200000</v>
      </c>
      <c r="P154" s="3">
        <v>955500000</v>
      </c>
      <c r="Q154" s="3">
        <v>1078400000</v>
      </c>
      <c r="R154" s="3">
        <v>899900000</v>
      </c>
      <c r="S154" s="3">
        <v>1134400000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-38054000</v>
      </c>
      <c r="C159" s="3">
        <v>-94595000</v>
      </c>
      <c r="D159" s="3">
        <v>-71140000</v>
      </c>
      <c r="E159" s="3">
        <v>-51393000</v>
      </c>
      <c r="F159" s="3">
        <v>-51201000</v>
      </c>
      <c r="G159" s="3">
        <v>-45302000</v>
      </c>
      <c r="H159" s="3">
        <v>-56563000</v>
      </c>
      <c r="I159" s="3">
        <v>-259421000</v>
      </c>
      <c r="J159" s="3">
        <v>-95524000</v>
      </c>
      <c r="K159" s="3">
        <v>-75451000</v>
      </c>
      <c r="L159" s="3">
        <v>-259798000</v>
      </c>
      <c r="M159" s="3">
        <v>-235000000</v>
      </c>
      <c r="N159" s="3">
        <v>-204700000</v>
      </c>
      <c r="O159" s="4">
        <v>-189500000</v>
      </c>
      <c r="P159" s="3">
        <v>-54200000</v>
      </c>
      <c r="Q159" s="3">
        <v>-33600000</v>
      </c>
      <c r="R159" s="3">
        <v>-42100000</v>
      </c>
      <c r="S159" s="3">
        <v>-59600000</v>
      </c>
    </row>
    <row r="160" spans="1:19" ht="16" x14ac:dyDescent="0.2">
      <c r="A160" s="2" t="s">
        <v>162</v>
      </c>
      <c r="B160" s="3">
        <v>-38054000</v>
      </c>
      <c r="C160" s="3">
        <v>-34595000</v>
      </c>
      <c r="D160" s="3">
        <v>-71140000</v>
      </c>
      <c r="E160" s="3">
        <v>-51393000</v>
      </c>
      <c r="F160" s="3">
        <v>-51201000</v>
      </c>
      <c r="G160" s="3">
        <v>-45302000</v>
      </c>
      <c r="H160" s="3">
        <v>-56563000</v>
      </c>
      <c r="I160" s="3">
        <v>-99421000</v>
      </c>
      <c r="J160" s="3">
        <v>-95524000</v>
      </c>
      <c r="K160" s="3">
        <v>-75451000</v>
      </c>
      <c r="L160" s="3">
        <v>-259798000</v>
      </c>
      <c r="M160" s="3">
        <v>-235000000</v>
      </c>
      <c r="N160" s="3">
        <v>-204700000</v>
      </c>
      <c r="O160" s="4">
        <v>-189500000</v>
      </c>
      <c r="P160" s="3">
        <v>-54200000</v>
      </c>
      <c r="Q160" s="3">
        <v>-33600000</v>
      </c>
      <c r="R160" s="3">
        <v>-42100000</v>
      </c>
      <c r="S160" s="3">
        <v>-59600000</v>
      </c>
    </row>
    <row r="161" spans="1:19" ht="16" x14ac:dyDescent="0.2">
      <c r="A161" s="2" t="s">
        <v>163</v>
      </c>
      <c r="B161" s="3" t="s">
        <v>24</v>
      </c>
      <c r="C161" s="3">
        <v>-60000000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>
        <v>-160000000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>
        <v>50087000</v>
      </c>
      <c r="C162" s="3">
        <v>294495000</v>
      </c>
      <c r="D162" s="3">
        <v>-337902000</v>
      </c>
      <c r="E162" s="3">
        <v>-64123000</v>
      </c>
      <c r="F162" s="3">
        <v>133766000</v>
      </c>
      <c r="G162" s="3">
        <v>434402000</v>
      </c>
      <c r="H162" s="3">
        <v>127862000</v>
      </c>
      <c r="I162" s="3">
        <v>-163367000</v>
      </c>
      <c r="J162" s="3">
        <v>-83813000</v>
      </c>
      <c r="K162" s="3">
        <v>-5655000</v>
      </c>
      <c r="L162" s="3">
        <v>359186000</v>
      </c>
      <c r="M162" s="3">
        <v>-105900000</v>
      </c>
      <c r="N162" s="3">
        <v>179500000</v>
      </c>
      <c r="O162" s="4">
        <v>-1860700000</v>
      </c>
      <c r="P162" s="3">
        <v>-34100000</v>
      </c>
      <c r="Q162" s="3">
        <v>209200000</v>
      </c>
      <c r="R162" s="3">
        <v>-1791500000</v>
      </c>
      <c r="S162" s="3">
        <v>-244300000</v>
      </c>
    </row>
    <row r="163" spans="1:19" ht="16" x14ac:dyDescent="0.2">
      <c r="A163" s="2" t="s">
        <v>165</v>
      </c>
      <c r="B163" s="3">
        <v>1284806000</v>
      </c>
      <c r="C163" s="3">
        <v>1016040000</v>
      </c>
      <c r="D163" s="3">
        <v>1367927000</v>
      </c>
      <c r="E163" s="3">
        <v>2348295000</v>
      </c>
      <c r="F163" s="3">
        <v>1557938000</v>
      </c>
      <c r="G163" s="3">
        <v>1067443000</v>
      </c>
      <c r="H163" s="3">
        <v>757562000</v>
      </c>
      <c r="I163" s="3">
        <v>369214000</v>
      </c>
      <c r="J163" s="3">
        <v>431576000</v>
      </c>
      <c r="K163" s="3">
        <v>570860000</v>
      </c>
      <c r="L163" s="3">
        <v>809909000</v>
      </c>
      <c r="M163" s="3">
        <v>499300000</v>
      </c>
      <c r="N163" s="3">
        <v>920000000</v>
      </c>
      <c r="O163" s="4">
        <v>1062600000</v>
      </c>
      <c r="P163" s="3">
        <v>193600000</v>
      </c>
      <c r="Q163" s="3">
        <v>484100000</v>
      </c>
      <c r="R163" s="3">
        <v>50000000</v>
      </c>
      <c r="S163" s="3">
        <v>334900000</v>
      </c>
    </row>
    <row r="164" spans="1:19" ht="16" x14ac:dyDescent="0.2">
      <c r="A164" s="2" t="s">
        <v>166</v>
      </c>
      <c r="B164" s="3">
        <v>-1234719000</v>
      </c>
      <c r="C164" s="3">
        <v>-721545000</v>
      </c>
      <c r="D164" s="3">
        <v>-1705829000</v>
      </c>
      <c r="E164" s="3">
        <v>-2412418000</v>
      </c>
      <c r="F164" s="3">
        <v>-1424172000</v>
      </c>
      <c r="G164" s="3">
        <v>-633041000</v>
      </c>
      <c r="H164" s="3">
        <v>-629700000</v>
      </c>
      <c r="I164" s="3">
        <v>-532581000</v>
      </c>
      <c r="J164" s="3">
        <v>-515389000</v>
      </c>
      <c r="K164" s="3">
        <v>-576515000</v>
      </c>
      <c r="L164" s="3">
        <v>-450723000</v>
      </c>
      <c r="M164" s="3">
        <v>-605200000</v>
      </c>
      <c r="N164" s="3">
        <v>-740500000</v>
      </c>
      <c r="O164" s="4">
        <v>-2923300000</v>
      </c>
      <c r="P164" s="3">
        <v>-227700000</v>
      </c>
      <c r="Q164" s="3">
        <v>-274900000</v>
      </c>
      <c r="R164" s="3">
        <v>-1841500000</v>
      </c>
      <c r="S164" s="3">
        <v>-579200000</v>
      </c>
    </row>
    <row r="165" spans="1:19" ht="16" x14ac:dyDescent="0.2">
      <c r="A165" s="2" t="s">
        <v>167</v>
      </c>
      <c r="B165" s="3" t="s">
        <v>24</v>
      </c>
      <c r="C165" s="3">
        <v>-60000000</v>
      </c>
      <c r="D165" s="3" t="s">
        <v>24</v>
      </c>
      <c r="E165" s="3" t="s">
        <v>24</v>
      </c>
      <c r="F165" s="3">
        <v>-10000000</v>
      </c>
      <c r="G165" s="3">
        <v>-80000000</v>
      </c>
      <c r="H165" s="3" t="s">
        <v>24</v>
      </c>
      <c r="I165" s="3" t="s">
        <v>24</v>
      </c>
      <c r="J165" s="3" t="s">
        <v>24</v>
      </c>
      <c r="K165" s="3">
        <v>-1154212000</v>
      </c>
      <c r="L165" s="3" t="s">
        <v>24</v>
      </c>
      <c r="M165" s="3" t="s">
        <v>24</v>
      </c>
      <c r="N165" s="3">
        <v>-295900000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 t="s">
        <v>24</v>
      </c>
      <c r="C167" s="3">
        <v>-60000000</v>
      </c>
      <c r="D167" s="3" t="s">
        <v>24</v>
      </c>
      <c r="E167" s="3" t="s">
        <v>24</v>
      </c>
      <c r="F167" s="3">
        <v>-10000000</v>
      </c>
      <c r="G167" s="3">
        <v>-80000000</v>
      </c>
      <c r="H167" s="3" t="s">
        <v>24</v>
      </c>
      <c r="I167" s="3" t="s">
        <v>24</v>
      </c>
      <c r="J167" s="3" t="s">
        <v>24</v>
      </c>
      <c r="K167" s="3">
        <v>-1154212000</v>
      </c>
      <c r="L167" s="3" t="s">
        <v>24</v>
      </c>
      <c r="M167" s="3" t="s">
        <v>24</v>
      </c>
      <c r="N167" s="3">
        <v>-295900000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>
        <v>-4732000</v>
      </c>
      <c r="C169" s="3">
        <v>72512000</v>
      </c>
      <c r="D169" s="3">
        <v>-16775000</v>
      </c>
      <c r="E169" s="3">
        <v>61386000</v>
      </c>
      <c r="F169" s="3">
        <v>1394000</v>
      </c>
      <c r="G169" s="3">
        <v>-40244000</v>
      </c>
      <c r="H169" s="3">
        <v>33170000</v>
      </c>
      <c r="I169" s="3">
        <v>-14893000</v>
      </c>
      <c r="J169" s="3">
        <v>-22821000</v>
      </c>
      <c r="K169" s="3" t="s">
        <v>24</v>
      </c>
      <c r="L169" s="3" t="s">
        <v>24</v>
      </c>
      <c r="M169" s="3" t="s">
        <v>24</v>
      </c>
      <c r="N169" s="3" t="s">
        <v>24</v>
      </c>
      <c r="O169" s="4">
        <v>-295900000</v>
      </c>
      <c r="P169" s="3">
        <v>-295900000</v>
      </c>
      <c r="Q169" s="3" t="s">
        <v>24</v>
      </c>
      <c r="R169" s="3" t="s">
        <v>24</v>
      </c>
      <c r="S169" s="3" t="s">
        <v>24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7301000</v>
      </c>
      <c r="C171" s="3">
        <v>212412000</v>
      </c>
      <c r="D171" s="3">
        <v>-425817000</v>
      </c>
      <c r="E171" s="3">
        <v>-54130000</v>
      </c>
      <c r="F171" s="3">
        <v>73959000</v>
      </c>
      <c r="G171" s="3">
        <v>268856000</v>
      </c>
      <c r="H171" s="3">
        <v>104469000</v>
      </c>
      <c r="I171" s="3">
        <v>-437681000</v>
      </c>
      <c r="J171" s="3">
        <v>-202158000</v>
      </c>
      <c r="K171" s="3">
        <v>-1235318000</v>
      </c>
      <c r="L171" s="3">
        <v>99388000</v>
      </c>
      <c r="M171" s="3">
        <v>-340900000</v>
      </c>
      <c r="N171" s="3">
        <v>-321100000</v>
      </c>
      <c r="O171" s="4">
        <v>-2346100000</v>
      </c>
      <c r="P171" s="3">
        <v>-384200000</v>
      </c>
      <c r="Q171" s="3">
        <v>175600000</v>
      </c>
      <c r="R171" s="3">
        <v>-1833600000</v>
      </c>
      <c r="S171" s="3">
        <v>-303900000</v>
      </c>
    </row>
    <row r="172" spans="1:19" ht="16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 t="s">
        <v>24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ht="16" x14ac:dyDescent="0.2">
      <c r="A173" s="2" t="s">
        <v>174</v>
      </c>
      <c r="B173" s="3">
        <v>391623000</v>
      </c>
      <c r="C173" s="3">
        <v>-250000000</v>
      </c>
      <c r="D173" s="3">
        <v>-21488000</v>
      </c>
      <c r="E173" s="3">
        <v>-83742000</v>
      </c>
      <c r="F173" s="3">
        <v>220601000</v>
      </c>
      <c r="G173" s="3">
        <v>3327000</v>
      </c>
      <c r="H173" s="3">
        <v>-6856000</v>
      </c>
      <c r="I173" s="3">
        <v>-284670000</v>
      </c>
      <c r="J173" s="3">
        <v>-12548000</v>
      </c>
      <c r="K173" s="3">
        <v>-29139000</v>
      </c>
      <c r="L173" s="3">
        <v>-29024000</v>
      </c>
      <c r="M173" s="3">
        <v>-24400000</v>
      </c>
      <c r="N173" s="3">
        <v>-85500000</v>
      </c>
      <c r="O173" s="4">
        <v>-70500000</v>
      </c>
      <c r="P173" s="3">
        <v>-49500000</v>
      </c>
      <c r="Q173" s="3">
        <v>-10400000</v>
      </c>
      <c r="R173" s="3">
        <v>-10600000</v>
      </c>
      <c r="S173" s="3" t="s">
        <v>24</v>
      </c>
    </row>
    <row r="174" spans="1:19" ht="16" x14ac:dyDescent="0.2">
      <c r="A174" s="2" t="s">
        <v>175</v>
      </c>
      <c r="B174" s="3">
        <v>391645000</v>
      </c>
      <c r="C174" s="3" t="s">
        <v>24</v>
      </c>
      <c r="D174" s="3" t="s">
        <v>24</v>
      </c>
      <c r="E174" s="3" t="s">
        <v>24</v>
      </c>
      <c r="F174" s="3">
        <v>302293000</v>
      </c>
      <c r="G174" s="3">
        <v>23662000</v>
      </c>
      <c r="H174" s="3">
        <v>86173000</v>
      </c>
      <c r="I174" s="3">
        <v>34666000</v>
      </c>
      <c r="J174" s="3">
        <v>20840000</v>
      </c>
      <c r="K174" s="3">
        <v>10046000</v>
      </c>
      <c r="L174" s="3">
        <v>13251000</v>
      </c>
      <c r="M174" s="3">
        <v>22600000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ht="16" x14ac:dyDescent="0.2">
      <c r="A175" s="2" t="s">
        <v>176</v>
      </c>
      <c r="B175" s="3">
        <v>-22000</v>
      </c>
      <c r="C175" s="3">
        <v>-250000000</v>
      </c>
      <c r="D175" s="3">
        <v>-21488000</v>
      </c>
      <c r="E175" s="3">
        <v>-83742000</v>
      </c>
      <c r="F175" s="3">
        <v>-81692000</v>
      </c>
      <c r="G175" s="3">
        <v>-20335000</v>
      </c>
      <c r="H175" s="3">
        <v>-93029000</v>
      </c>
      <c r="I175" s="3">
        <v>-319336000</v>
      </c>
      <c r="J175" s="3">
        <v>-33388000</v>
      </c>
      <c r="K175" s="3">
        <v>-39185000</v>
      </c>
      <c r="L175" s="3">
        <v>-42275000</v>
      </c>
      <c r="M175" s="3">
        <v>-47000000</v>
      </c>
      <c r="N175" s="3">
        <v>-85500000</v>
      </c>
      <c r="O175" s="4">
        <v>-70500000</v>
      </c>
      <c r="P175" s="3">
        <v>-49500000</v>
      </c>
      <c r="Q175" s="3">
        <v>-10400000</v>
      </c>
      <c r="R175" s="3">
        <v>-10600000</v>
      </c>
      <c r="S175" s="3" t="s">
        <v>24</v>
      </c>
    </row>
    <row r="176" spans="1:19" ht="16" x14ac:dyDescent="0.2">
      <c r="A176" s="2" t="s">
        <v>177</v>
      </c>
      <c r="B176" s="3">
        <v>33434000</v>
      </c>
      <c r="C176" s="3">
        <v>124862000</v>
      </c>
      <c r="D176" s="3">
        <v>191721000</v>
      </c>
      <c r="E176" s="3">
        <v>265878000</v>
      </c>
      <c r="F176" s="3">
        <v>274615000</v>
      </c>
      <c r="G176" s="3">
        <v>185592000</v>
      </c>
      <c r="H176" s="3">
        <v>68230000</v>
      </c>
      <c r="I176" s="3">
        <v>344840000</v>
      </c>
      <c r="J176" s="3">
        <v>-60750000</v>
      </c>
      <c r="K176" s="3">
        <v>151229000</v>
      </c>
      <c r="L176" s="3">
        <v>-739407000</v>
      </c>
      <c r="M176" s="3">
        <v>-1561300000</v>
      </c>
      <c r="N176" s="3">
        <v>-172000000</v>
      </c>
      <c r="O176" s="4">
        <v>-380900000</v>
      </c>
      <c r="P176" s="3">
        <v>-48000000</v>
      </c>
      <c r="Q176" s="3">
        <v>-2100000</v>
      </c>
      <c r="R176" s="3">
        <v>-299400000</v>
      </c>
      <c r="S176" s="3">
        <v>-31400000</v>
      </c>
    </row>
    <row r="177" spans="1:1022 1027:2048 2053:3060 3074:4086 4100:5112 5126:6138 6152:7164 7178:8190 8204:9216 9230:10237 10242:11263 11268:12275 12289:13301 13315:14327 14341:15353 15367:16379" ht="16" x14ac:dyDescent="0.2">
      <c r="A177" s="2" t="s">
        <v>178</v>
      </c>
      <c r="B177" s="3">
        <v>33434000</v>
      </c>
      <c r="C177" s="3">
        <v>124862000</v>
      </c>
      <c r="D177" s="3">
        <v>191721000</v>
      </c>
      <c r="E177" s="3">
        <v>265878000</v>
      </c>
      <c r="F177" s="3">
        <v>274615000</v>
      </c>
      <c r="G177" s="3">
        <v>185592000</v>
      </c>
      <c r="H177" s="3">
        <v>68230000</v>
      </c>
      <c r="I177" s="3">
        <v>344840000</v>
      </c>
      <c r="J177" s="3">
        <v>289293000</v>
      </c>
      <c r="K177" s="3">
        <v>343244000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022 1027:2048 2053:3060 3074:4086 4100:5112 5126:6138 6152:7164 7178:8190 8204:9216 9230:10237 10242:11263 11268:12275 12289:13301 13315:14327 14341:15353 15367:16379" ht="16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>
        <v>-350043000</v>
      </c>
      <c r="K178" s="3">
        <v>-192015000</v>
      </c>
      <c r="L178" s="3">
        <v>-739407000</v>
      </c>
      <c r="M178" s="3">
        <v>-1561300000</v>
      </c>
      <c r="N178" s="3">
        <v>-172000000</v>
      </c>
      <c r="O178" s="4">
        <v>-380900000</v>
      </c>
      <c r="P178" s="3">
        <v>-48000000</v>
      </c>
      <c r="Q178" s="3">
        <v>-2100000</v>
      </c>
      <c r="R178" s="3">
        <v>-299400000</v>
      </c>
      <c r="S178" s="3">
        <v>-31400000</v>
      </c>
    </row>
    <row r="179" spans="1:1022 1027:2048 2053:3060 3074:4086 4100:5112 5126:6138 6152:7164 7178:8190 8204:9216 9230:10237 10242:11263 11268:12275 12289:13301 13315:14327 14341:15353 15367:16379" ht="16" x14ac:dyDescent="0.2">
      <c r="A179" s="2" t="s">
        <v>180</v>
      </c>
      <c r="B179" s="3" t="s">
        <v>24</v>
      </c>
      <c r="C179" s="3">
        <v>900000</v>
      </c>
      <c r="D179" s="3">
        <v>1971000</v>
      </c>
      <c r="E179" s="3">
        <v>-1252000</v>
      </c>
      <c r="F179" s="3">
        <v>2160000</v>
      </c>
      <c r="G179" s="3" t="s">
        <v>24</v>
      </c>
      <c r="H179" s="3">
        <v>71897000</v>
      </c>
      <c r="I179" s="3">
        <v>8234000</v>
      </c>
      <c r="J179" s="3">
        <v>2079000</v>
      </c>
      <c r="K179" s="3">
        <v>4683000</v>
      </c>
      <c r="L179" s="3">
        <v>263150000</v>
      </c>
      <c r="M179" s="3">
        <v>107700000</v>
      </c>
      <c r="N179" s="3">
        <v>189800000</v>
      </c>
      <c r="O179" s="4">
        <v>154000000</v>
      </c>
      <c r="P179" s="3">
        <v>37300000</v>
      </c>
      <c r="Q179" s="3">
        <v>52700000</v>
      </c>
      <c r="R179" s="3">
        <v>15300000</v>
      </c>
      <c r="S179" s="3">
        <v>48700000</v>
      </c>
    </row>
    <row r="180" spans="1:1022 1027:2048 2053:3060 3074:4086 4100:5112 5126:6138 6152:7164 7178:8190 8204:9216 9230:10237 10242:11263 11268:12275 12289:13301 13315:14327 14341:15353 15367:1637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ht="16" x14ac:dyDescent="0.2">
      <c r="A181" s="2" t="s">
        <v>181</v>
      </c>
      <c r="B181" s="3">
        <v>425057000</v>
      </c>
      <c r="C181" s="3">
        <v>-124238000</v>
      </c>
      <c r="D181" s="3">
        <v>172204000</v>
      </c>
      <c r="E181" s="3">
        <v>180884000</v>
      </c>
      <c r="F181" s="3">
        <v>497376000</v>
      </c>
      <c r="G181" s="3">
        <v>188919000</v>
      </c>
      <c r="H181" s="3">
        <v>133271000</v>
      </c>
      <c r="I181" s="3">
        <v>68404000</v>
      </c>
      <c r="J181" s="3">
        <v>-71219000</v>
      </c>
      <c r="K181" s="3">
        <v>126773000</v>
      </c>
      <c r="L181" s="3">
        <v>-505281000</v>
      </c>
      <c r="M181" s="3">
        <v>-1478000000</v>
      </c>
      <c r="N181" s="3">
        <v>-67700000</v>
      </c>
      <c r="O181" s="4">
        <v>-297400000</v>
      </c>
      <c r="P181" s="3">
        <v>-60200000</v>
      </c>
      <c r="Q181" s="3">
        <v>40200000</v>
      </c>
      <c r="R181" s="3">
        <v>-294700000</v>
      </c>
      <c r="S181" s="3">
        <v>17300000</v>
      </c>
    </row>
    <row r="182" spans="1:1022 1027:2048 2053:3060 3074:4086 4100:5112 5126:6138 6152:7164 7178:8190 8204:9216 9230:10237 10242:11263 11268:12275 12289:13301 13315:14327 14341:15353 15367:16379" ht="16" x14ac:dyDescent="0.2">
      <c r="A182" s="2" t="s">
        <v>182</v>
      </c>
      <c r="B182" s="3">
        <v>-377000</v>
      </c>
      <c r="C182" s="3">
        <v>214000</v>
      </c>
      <c r="D182" s="3">
        <v>-141000</v>
      </c>
      <c r="E182" s="3">
        <v>4708000</v>
      </c>
      <c r="F182" s="3">
        <v>-2176000</v>
      </c>
      <c r="G182" s="3">
        <v>-2834000</v>
      </c>
      <c r="H182" s="3">
        <v>-4666000</v>
      </c>
      <c r="I182" s="3">
        <v>5802000</v>
      </c>
      <c r="J182" s="3">
        <v>-6182000</v>
      </c>
      <c r="K182" s="3">
        <v>1643000</v>
      </c>
      <c r="L182" s="3">
        <v>20552000</v>
      </c>
      <c r="M182" s="3">
        <v>-13400000</v>
      </c>
      <c r="N182" s="3">
        <v>-29200000</v>
      </c>
      <c r="O182" s="4">
        <v>24600000</v>
      </c>
      <c r="P182" s="3">
        <v>-38200000</v>
      </c>
      <c r="Q182" s="3">
        <v>40800000</v>
      </c>
      <c r="R182" s="3">
        <v>12000000</v>
      </c>
      <c r="S182" s="3">
        <v>10000000</v>
      </c>
    </row>
    <row r="183" spans="1:1022 1027:2048 2053:3060 3074:4086 4100:5112 5126:6138 6152:7164 7178:8190 8204:9216 9230:10237 10242:11263 11268:12275 12289:13301 13315:14327 14341:15353 15367:16379" ht="16" x14ac:dyDescent="0.2">
      <c r="A183" s="2" t="s">
        <v>183</v>
      </c>
      <c r="B183" s="3">
        <v>-203084000</v>
      </c>
      <c r="C183" s="3">
        <v>231909000</v>
      </c>
      <c r="D183" s="3">
        <v>14228000</v>
      </c>
      <c r="E183" s="3">
        <v>75184000</v>
      </c>
      <c r="F183" s="3">
        <v>58136000</v>
      </c>
      <c r="G183" s="3">
        <v>92343000</v>
      </c>
      <c r="H183" s="3">
        <v>473843000</v>
      </c>
      <c r="I183" s="3">
        <v>475665000</v>
      </c>
      <c r="J183" s="3">
        <v>996909000</v>
      </c>
      <c r="K183" s="3">
        <v>460785000</v>
      </c>
      <c r="L183" s="3">
        <v>2847612000</v>
      </c>
      <c r="M183" s="3">
        <v>824600000</v>
      </c>
      <c r="N183" s="3">
        <v>3741100000</v>
      </c>
      <c r="O183" s="4">
        <v>1424700000</v>
      </c>
      <c r="P183" s="3">
        <v>511100000</v>
      </c>
      <c r="Q183" s="3">
        <v>1294200000</v>
      </c>
      <c r="R183" s="3">
        <v>-1228400000</v>
      </c>
      <c r="S183" s="3">
        <v>847800000</v>
      </c>
    </row>
    <row r="184" spans="1:1022 1027:2048 2053:3060 3074:4086 4100:5112 5126:6138 6152:7164 7178:8190 8204:9216 9230:10237 10242:11263 11268:12275 12289:13301 13315:14327 14341:15353 15367:16379" ht="16" x14ac:dyDescent="0.2">
      <c r="A184" s="2" t="s">
        <v>54</v>
      </c>
      <c r="B184" s="3">
        <v>-664117000</v>
      </c>
      <c r="C184" s="3">
        <v>256735000</v>
      </c>
      <c r="D184" s="3">
        <v>42367000</v>
      </c>
      <c r="E184" s="3">
        <v>-151062000</v>
      </c>
      <c r="F184" s="3">
        <v>-578230000</v>
      </c>
      <c r="G184" s="3">
        <v>-404113000</v>
      </c>
      <c r="H184" s="3">
        <v>72596000</v>
      </c>
      <c r="I184" s="3">
        <v>454226000</v>
      </c>
      <c r="J184" s="3">
        <v>736386000</v>
      </c>
      <c r="K184" s="3">
        <v>1308966000</v>
      </c>
      <c r="L184" s="3">
        <v>2978905000</v>
      </c>
      <c r="M184" s="3">
        <v>2904600000</v>
      </c>
      <c r="N184" s="3">
        <v>4513700000</v>
      </c>
      <c r="O184" s="4">
        <v>4626800000</v>
      </c>
      <c r="P184" s="3">
        <v>1189800000</v>
      </c>
      <c r="Q184" s="3">
        <v>1096300000</v>
      </c>
      <c r="R184" s="3">
        <v>1163000000</v>
      </c>
      <c r="S184" s="3">
        <v>1177700000</v>
      </c>
    </row>
    <row r="185" spans="1:1022 1027:2048 2053:3060 3074:4086 4100:5112 5126:6138 6152:7164 7178:8190 8204:9216 9230:10237 10242:11263 11268:12275 12289:13301 13315:14327 14341:15353 15367:16379" ht="16" x14ac:dyDescent="0.2">
      <c r="A185" s="2" t="s">
        <v>55</v>
      </c>
      <c r="B185" s="5">
        <v>-463.22</v>
      </c>
      <c r="C185" s="5">
        <v>18.2</v>
      </c>
      <c r="D185" s="5">
        <v>2.77</v>
      </c>
      <c r="E185" s="5">
        <v>-12.46</v>
      </c>
      <c r="F185" s="5">
        <v>-99.62</v>
      </c>
      <c r="G185" s="5">
        <v>-39.15</v>
      </c>
      <c r="H185" s="5">
        <v>4.26</v>
      </c>
      <c r="I185" s="5">
        <v>18.25</v>
      </c>
      <c r="J185" s="5">
        <v>24.16</v>
      </c>
      <c r="K185" s="5">
        <v>31.44</v>
      </c>
      <c r="L185" s="3">
        <v>48</v>
      </c>
      <c r="M185" s="5">
        <v>38.35</v>
      </c>
      <c r="N185" s="5">
        <v>50.54</v>
      </c>
      <c r="O185" s="6">
        <v>48.68</v>
      </c>
      <c r="P185" s="5">
        <v>49.71</v>
      </c>
      <c r="Q185" s="5">
        <v>50.52</v>
      </c>
      <c r="R185" s="5">
        <v>50.02</v>
      </c>
      <c r="S185" s="5">
        <v>48.68</v>
      </c>
    </row>
    <row r="186" spans="1:1022 1027:2048 2053:3060 3074:4086 4100:5112 5126:6138 6152:7164 7178:8190 8204:9216 9230:10237 10242:11263 11268:12275 12289:13301 13315:14327 14341:15353 15367:16379" ht="16" x14ac:dyDescent="0.2">
      <c r="A186" s="2" t="s">
        <v>184</v>
      </c>
      <c r="B186" s="3" t="s">
        <v>24</v>
      </c>
      <c r="C186" s="3">
        <v>60000000</v>
      </c>
      <c r="D186" s="3" t="s">
        <v>24</v>
      </c>
      <c r="E186" s="3" t="s">
        <v>24</v>
      </c>
      <c r="F186" s="3">
        <v>10000000</v>
      </c>
      <c r="G186" s="3">
        <v>80000000</v>
      </c>
      <c r="H186" s="3" t="s">
        <v>24</v>
      </c>
      <c r="I186" s="3" t="s">
        <v>24</v>
      </c>
      <c r="J186" s="3" t="s">
        <v>24</v>
      </c>
      <c r="K186" s="3">
        <v>1154212000</v>
      </c>
      <c r="L186" s="3" t="s">
        <v>24</v>
      </c>
      <c r="M186" s="3" t="s">
        <v>24</v>
      </c>
      <c r="N186" s="3">
        <v>295900000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ht="16" x14ac:dyDescent="0.2">
      <c r="A187" s="2" t="s">
        <v>185</v>
      </c>
      <c r="B187" s="3">
        <v>-673496000</v>
      </c>
      <c r="C187" s="3">
        <v>49140000</v>
      </c>
      <c r="D187" s="3">
        <v>196701000</v>
      </c>
      <c r="E187" s="3">
        <v>-102963000</v>
      </c>
      <c r="F187" s="3">
        <v>-564400000</v>
      </c>
      <c r="G187" s="3">
        <v>-410734000</v>
      </c>
      <c r="H187" s="3">
        <v>179540000</v>
      </c>
      <c r="I187" s="3">
        <v>585521000</v>
      </c>
      <c r="J187" s="3">
        <v>1174762000</v>
      </c>
      <c r="K187" s="3">
        <v>1493879000</v>
      </c>
      <c r="L187" s="3">
        <v>2993707000</v>
      </c>
      <c r="M187" s="3">
        <v>2408500000</v>
      </c>
      <c r="N187" s="3">
        <v>3925200000</v>
      </c>
      <c r="O187" s="4">
        <v>3878700000</v>
      </c>
      <c r="P187" s="3">
        <v>901300000</v>
      </c>
      <c r="Q187" s="3">
        <v>1044800000</v>
      </c>
      <c r="R187" s="3">
        <v>857800000</v>
      </c>
      <c r="S187" s="3">
        <v>1074800000</v>
      </c>
    </row>
    <row r="188" spans="1:1022 1027:2048 2053:3060 3074:4086 4100:5112 5126:6138 6152:7164 7178:8190 8204:9216 9230:10237 10242:11263 11268:12275 12289:13301 13315:14327 14341:15353 15367:16379" ht="16" x14ac:dyDescent="0.2">
      <c r="A188" s="32" t="s">
        <v>186</v>
      </c>
      <c r="B188" s="30" t="s">
        <v>24</v>
      </c>
      <c r="C188" s="30">
        <v>74056548</v>
      </c>
      <c r="D188" s="30">
        <v>196701000</v>
      </c>
      <c r="E188" s="30">
        <v>-102963000</v>
      </c>
      <c r="F188" s="30">
        <v>-564400000</v>
      </c>
      <c r="G188" s="30">
        <v>-410734000</v>
      </c>
      <c r="H188" s="30">
        <v>179540000</v>
      </c>
      <c r="I188" s="30">
        <v>585521000</v>
      </c>
      <c r="J188" s="30">
        <v>1174762000</v>
      </c>
      <c r="K188" s="30">
        <v>1543233650</v>
      </c>
      <c r="L188" s="30">
        <v>3044298981</v>
      </c>
      <c r="M188" s="30">
        <v>2461253864</v>
      </c>
      <c r="N188" s="30">
        <v>3968212381</v>
      </c>
      <c r="O188" s="31">
        <v>3916129453</v>
      </c>
      <c r="P188" s="30">
        <v>912136323</v>
      </c>
      <c r="Q188" s="30">
        <v>1053621731</v>
      </c>
      <c r="R188" s="30">
        <v>866748648</v>
      </c>
      <c r="S188" s="30">
        <v>1083629824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 t="e">
        <f>(C188/B188)-1</f>
        <v>#VALUE!</v>
      </c>
      <c r="D189" s="24">
        <f>(D188/C188)-1</f>
        <v>1.6560919366643985</v>
      </c>
      <c r="E189" s="24">
        <f>(E188/D188)-1</f>
        <v>-1.5234492961398265</v>
      </c>
      <c r="F189" s="24">
        <f t="shared" ref="F189:N189" si="8">(F188/E188)-1</f>
        <v>4.4815807620213084</v>
      </c>
      <c r="G189" s="24">
        <f t="shared" si="8"/>
        <v>-0.27226435152374207</v>
      </c>
      <c r="H189" s="24">
        <f t="shared" si="8"/>
        <v>-1.4371198878106024</v>
      </c>
      <c r="I189" s="24">
        <f t="shared" si="8"/>
        <v>2.261228695555308</v>
      </c>
      <c r="J189" s="24">
        <f t="shared" si="8"/>
        <v>1.0063533161065101</v>
      </c>
      <c r="K189" s="24">
        <f t="shared" si="8"/>
        <v>0.31365642572708352</v>
      </c>
      <c r="L189" s="24">
        <f t="shared" si="8"/>
        <v>0.97267535022969454</v>
      </c>
      <c r="M189" s="24">
        <f t="shared" si="8"/>
        <v>-0.19152032065144919</v>
      </c>
      <c r="N189" s="24">
        <f t="shared" si="8"/>
        <v>0.61227268712172145</v>
      </c>
      <c r="O189" s="24">
        <f>(O188/N188)-1</f>
        <v>-1.312503540621357E-2</v>
      </c>
      <c r="P189" s="24"/>
      <c r="Q189" s="24">
        <f>(Q188/P188)-1</f>
        <v>0.15511432275238968</v>
      </c>
      <c r="R189" s="24">
        <f>(R188/Q188)-1</f>
        <v>-0.17736259371058849</v>
      </c>
      <c r="S189" s="24">
        <f>(S188/R188)-1</f>
        <v>0.25022384113369855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 t="e">
        <f t="shared" ref="B190:S190" si="9">B188/B2</f>
        <v>#VALUE!</v>
      </c>
      <c r="C190" s="26">
        <f t="shared" si="9"/>
        <v>5.2499066371951175E-2</v>
      </c>
      <c r="D190" s="26">
        <f t="shared" si="9"/>
        <v>0.12881178120837541</v>
      </c>
      <c r="E190" s="26">
        <f t="shared" si="9"/>
        <v>-8.4954722663421273E-2</v>
      </c>
      <c r="F190" s="26">
        <f t="shared" si="9"/>
        <v>-0.97240767381959459</v>
      </c>
      <c r="G190" s="26">
        <f t="shared" si="9"/>
        <v>-0.39786852342648132</v>
      </c>
      <c r="H190" s="26">
        <f t="shared" si="9"/>
        <v>0.10547669249437631</v>
      </c>
      <c r="I190" s="26">
        <f t="shared" si="9"/>
        <v>0.23527636648273845</v>
      </c>
      <c r="J190" s="26">
        <f t="shared" si="9"/>
        <v>0.38547156989588849</v>
      </c>
      <c r="K190" s="26">
        <f t="shared" si="9"/>
        <v>0.37071823410134619</v>
      </c>
      <c r="L190" s="26">
        <f t="shared" si="9"/>
        <v>0.49056630527211914</v>
      </c>
      <c r="M190" s="26">
        <f t="shared" si="9"/>
        <v>0.32494373996620196</v>
      </c>
      <c r="N190" s="26">
        <f t="shared" si="9"/>
        <v>0.44433385748037668</v>
      </c>
      <c r="O190" s="27">
        <f t="shared" si="9"/>
        <v>0.41200730699631771</v>
      </c>
      <c r="P190" s="26">
        <f t="shared" si="9"/>
        <v>0.39075368333119137</v>
      </c>
      <c r="Q190" s="26">
        <f t="shared" si="9"/>
        <v>0.45755926998740609</v>
      </c>
      <c r="R190" s="26">
        <f t="shared" si="9"/>
        <v>0.36497753410813544</v>
      </c>
      <c r="S190" s="26">
        <f t="shared" si="9"/>
        <v>0.43463413444569227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ht="16" x14ac:dyDescent="0.2">
      <c r="A191" s="2" t="s">
        <v>187</v>
      </c>
      <c r="B191" s="3">
        <v>-281873000</v>
      </c>
      <c r="C191" s="3">
        <v>-140860000</v>
      </c>
      <c r="D191" s="3">
        <v>175213000</v>
      </c>
      <c r="E191" s="3">
        <v>-186705000</v>
      </c>
      <c r="F191" s="3">
        <v>-343799000</v>
      </c>
      <c r="G191" s="3">
        <v>-407407000</v>
      </c>
      <c r="H191" s="3">
        <v>172684000</v>
      </c>
      <c r="I191" s="3">
        <v>460851000</v>
      </c>
      <c r="J191" s="3">
        <v>1162214000</v>
      </c>
      <c r="K191" s="3">
        <v>1464740000</v>
      </c>
      <c r="L191" s="3">
        <v>2964683000</v>
      </c>
      <c r="M191" s="3">
        <v>2384100000</v>
      </c>
      <c r="N191" s="3">
        <v>3839700000</v>
      </c>
      <c r="O191" s="4">
        <v>3808200000</v>
      </c>
      <c r="P191" s="3">
        <v>851800000</v>
      </c>
      <c r="Q191" s="3">
        <v>1034400000</v>
      </c>
      <c r="R191" s="3">
        <v>847200000</v>
      </c>
      <c r="S191" s="3">
        <v>1074800000</v>
      </c>
    </row>
    <row r="192" spans="1:1022 1027:2048 2053:3060 3074:4086 4100:5112 5126:6138 6152:7164 7178:8190 8204:9216 9230:10237 10242:11263 11268:12275 12289:13301 13315:14327 14341:15353 15367:16379" ht="16" x14ac:dyDescent="0.2">
      <c r="A192" s="2" t="s">
        <v>188</v>
      </c>
      <c r="B192" s="5">
        <v>-3.36</v>
      </c>
      <c r="C192" s="5">
        <v>0.24</v>
      </c>
      <c r="D192" s="5">
        <v>0.93</v>
      </c>
      <c r="E192" s="5">
        <v>-0.46</v>
      </c>
      <c r="F192" s="5">
        <v>-2.4</v>
      </c>
      <c r="G192" s="5">
        <v>-1.7</v>
      </c>
      <c r="H192" s="5">
        <v>0.73</v>
      </c>
      <c r="I192" s="5">
        <v>2.35</v>
      </c>
      <c r="J192" s="5">
        <v>4.62</v>
      </c>
      <c r="K192" s="5">
        <v>5.82</v>
      </c>
      <c r="L192" s="5">
        <v>11.52</v>
      </c>
      <c r="M192" s="5">
        <v>9.35</v>
      </c>
      <c r="N192" s="5">
        <v>15.33</v>
      </c>
      <c r="O192" s="6">
        <v>15.08</v>
      </c>
      <c r="P192" s="5">
        <v>3.51</v>
      </c>
      <c r="Q192" s="5">
        <v>4.07</v>
      </c>
      <c r="R192" s="5">
        <v>3.33</v>
      </c>
      <c r="S192" s="5">
        <v>4.17</v>
      </c>
    </row>
    <row r="193" spans="1:19" ht="16" x14ac:dyDescent="0.2">
      <c r="A193" s="2" t="s">
        <v>189</v>
      </c>
      <c r="B193" s="5">
        <v>-11.75</v>
      </c>
      <c r="C193" s="5">
        <v>29.1</v>
      </c>
      <c r="D193" s="5">
        <v>26.2</v>
      </c>
      <c r="E193" s="5">
        <v>-94409.69</v>
      </c>
      <c r="F193" s="5">
        <v>-60.51</v>
      </c>
      <c r="G193" s="5">
        <v>-94.85</v>
      </c>
      <c r="H193" s="5">
        <v>61.59</v>
      </c>
      <c r="I193" s="5">
        <v>34.36</v>
      </c>
      <c r="J193" s="5">
        <v>31.45</v>
      </c>
      <c r="K193" s="5">
        <v>34.700000000000003</v>
      </c>
      <c r="L193" s="5">
        <v>17.72</v>
      </c>
      <c r="M193" s="5">
        <v>19.829999999999998</v>
      </c>
      <c r="N193" s="5">
        <v>17.260000000000002</v>
      </c>
      <c r="O193" s="6">
        <v>21.5</v>
      </c>
      <c r="P193" s="5">
        <v>17.73</v>
      </c>
      <c r="Q193" s="5">
        <v>17.52</v>
      </c>
      <c r="R193" s="5">
        <v>19.47</v>
      </c>
      <c r="S193" s="5">
        <v>21.78</v>
      </c>
    </row>
    <row r="194" spans="1:19" ht="16" x14ac:dyDescent="0.2">
      <c r="A194" s="2" t="s">
        <v>190</v>
      </c>
      <c r="B194" s="5">
        <v>0.84</v>
      </c>
      <c r="C194" s="5">
        <v>4.8600000000000003</v>
      </c>
      <c r="D194" s="5">
        <v>-2.5</v>
      </c>
      <c r="E194" s="5">
        <v>0.12</v>
      </c>
      <c r="F194" s="5">
        <v>0.69</v>
      </c>
      <c r="G194" s="5">
        <v>0.65</v>
      </c>
      <c r="H194" s="5">
        <v>-2.11</v>
      </c>
      <c r="I194" s="5">
        <v>3.21</v>
      </c>
      <c r="J194" s="5">
        <v>0.61</v>
      </c>
      <c r="K194" s="5">
        <v>1.33</v>
      </c>
      <c r="L194" s="5">
        <v>1.2</v>
      </c>
      <c r="M194" s="5">
        <v>1.1299999999999999</v>
      </c>
      <c r="N194" s="5">
        <v>1.24</v>
      </c>
      <c r="O194" s="6">
        <v>1.21</v>
      </c>
      <c r="P194" s="5">
        <v>1.03</v>
      </c>
      <c r="Q194" s="5">
        <v>1.32</v>
      </c>
      <c r="R194" s="5">
        <v>1.29</v>
      </c>
      <c r="S194" s="5">
        <v>1.24</v>
      </c>
    </row>
    <row r="196" spans="1:19" ht="16" x14ac:dyDescent="0.2">
      <c r="A196" s="7"/>
    </row>
  </sheetData>
  <pageMargins left="0.7" right="0.7" top="0.75" bottom="0.75" header="0.3" footer="0.3"/>
  <ignoredErrors>
    <ignoredError sqref="B1:S1 A4:S7 A15:S16 A19:S33 A37:S95 A2:S2 A9:S11 A13:S13 A191:S195 A96:N96 Q96 A97:S128 A130:S142 A144:S187 A188:C188 K188:S1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2A-8885-CF41-A195-3737F01D0334}">
  <dimension ref="A1:P110"/>
  <sheetViews>
    <sheetView tabSelected="1" topLeftCell="G1" workbookViewId="0">
      <selection activeCell="K20" sqref="K20"/>
    </sheetView>
  </sheetViews>
  <sheetFormatPr baseColWidth="10" defaultRowHeight="15" x14ac:dyDescent="0.2"/>
  <cols>
    <col min="1" max="16" width="18.83203125" customWidth="1"/>
  </cols>
  <sheetData>
    <row r="1" spans="1:16" s="118" customFormat="1" ht="22" customHeight="1" x14ac:dyDescent="0.2">
      <c r="A1" s="117" t="e" vm="1">
        <v>#VALUE!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pans="1:16" s="118" customFormat="1" ht="22" customHeight="1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</row>
    <row r="3" spans="1:16" ht="22" customHeight="1" x14ac:dyDescent="0.2">
      <c r="A3" s="41" cm="1">
        <f t="array" ref="A3">_FV(A1,"Market cap",TRUE)</f>
        <v>95017346000</v>
      </c>
      <c r="B3" s="42" t="s">
        <v>201</v>
      </c>
      <c r="C3" s="43">
        <f>Financials!O8*0.01</f>
        <v>0.87919999999999998</v>
      </c>
      <c r="D3" s="42" t="s">
        <v>202</v>
      </c>
      <c r="E3" s="43">
        <f>SUM(C11:E11)/3</f>
        <v>0.29678738032920426</v>
      </c>
      <c r="F3" s="44" t="s">
        <v>203</v>
      </c>
      <c r="G3" s="45">
        <f>SUM(Financials!K129:N129)/4</f>
        <v>1.8920446229682142E-3</v>
      </c>
      <c r="H3" s="44" t="s">
        <v>204</v>
      </c>
      <c r="I3" s="46">
        <f>J14*(1+I7)/(I6-I7)</f>
        <v>169420691329.74918</v>
      </c>
      <c r="J3" s="42" t="s">
        <v>205</v>
      </c>
      <c r="K3" s="47"/>
      <c r="L3" s="48"/>
      <c r="M3" s="49"/>
      <c r="N3" s="119" t="s">
        <v>206</v>
      </c>
      <c r="O3" s="120"/>
      <c r="P3" s="49"/>
    </row>
    <row r="4" spans="1:16" ht="22" customHeight="1" x14ac:dyDescent="0.2">
      <c r="A4" s="50">
        <f>Financials!O56-Financials!O96-Financials!O105</f>
        <v>10468700000</v>
      </c>
      <c r="B4" s="51" t="s">
        <v>207</v>
      </c>
      <c r="C4" s="52">
        <f>Financials!O17*0.01</f>
        <v>0.47039999999999998</v>
      </c>
      <c r="D4" s="51" t="s">
        <v>208</v>
      </c>
      <c r="E4" s="52">
        <f>SUM(C13:E13)/3</f>
        <v>0.52877966874916127</v>
      </c>
      <c r="F4" s="53" t="s">
        <v>209</v>
      </c>
      <c r="G4" s="54">
        <f>A5*(1+(5*G3))</f>
        <v>260238845.51900601</v>
      </c>
      <c r="H4" s="55" t="s">
        <v>210</v>
      </c>
      <c r="I4" s="56">
        <f>NPV(I6,F14,G14,H14,I14,(J14+I3))</f>
        <v>145583922439.6619</v>
      </c>
      <c r="J4" s="53" t="s">
        <v>211</v>
      </c>
      <c r="K4" s="45" cm="1">
        <f t="array" ref="K4">_FV(A1,"Change (%)",TRUE)</f>
        <v>-2.2256999999999999E-2</v>
      </c>
      <c r="L4" s="44" t="s">
        <v>212</v>
      </c>
      <c r="M4" s="49"/>
      <c r="N4" s="121" t="s">
        <v>213</v>
      </c>
      <c r="O4" s="122"/>
      <c r="P4" s="49"/>
    </row>
    <row r="5" spans="1:16" ht="22" customHeight="1" x14ac:dyDescent="0.2">
      <c r="A5" s="54" cm="1">
        <f t="array" ref="A5">_FV(A1,"Shares outstanding",TRUE)</f>
        <v>257800000</v>
      </c>
      <c r="B5" s="51" t="s">
        <v>214</v>
      </c>
      <c r="C5" s="57">
        <f>Financials!O34*0.01</f>
        <v>0.35399999999999998</v>
      </c>
      <c r="D5" s="51" t="s">
        <v>215</v>
      </c>
      <c r="E5" s="52">
        <f>SUM(C15:E15)/3</f>
        <v>0.46447590556665563</v>
      </c>
      <c r="F5" s="53" t="s">
        <v>216</v>
      </c>
      <c r="G5" s="54">
        <f>Financials!O56</f>
        <v>11236300000</v>
      </c>
      <c r="H5" s="55" t="s">
        <v>217</v>
      </c>
      <c r="I5" s="56">
        <f>I4+G5-G6</f>
        <v>156052622439.6619</v>
      </c>
      <c r="J5" s="53" t="s">
        <v>218</v>
      </c>
      <c r="K5" s="58" cm="1">
        <f t="array" ref="K5">_FV(A1,"Price")</f>
        <v>368.57</v>
      </c>
      <c r="L5" s="51" t="s">
        <v>219</v>
      </c>
      <c r="M5" s="49"/>
      <c r="N5" s="59" t="s">
        <v>220</v>
      </c>
      <c r="O5" s="60">
        <f>Financials!O21</f>
        <v>47900000</v>
      </c>
      <c r="P5" s="49"/>
    </row>
    <row r="6" spans="1:16" ht="22" customHeight="1" x14ac:dyDescent="0.2">
      <c r="A6" s="61">
        <f>O20/F10</f>
        <v>9.6229842009317395</v>
      </c>
      <c r="B6" s="51" t="s">
        <v>221</v>
      </c>
      <c r="C6" s="52">
        <f>Financials!O190</f>
        <v>0.41200730699631771</v>
      </c>
      <c r="D6" s="62" t="s">
        <v>200</v>
      </c>
      <c r="E6" s="52">
        <f>Financials!O33/Financials!O126</f>
        <v>0.21750850021331333</v>
      </c>
      <c r="F6" s="51" t="s">
        <v>222</v>
      </c>
      <c r="G6" s="56">
        <f>Financials!O96+Financials!O105</f>
        <v>767600000</v>
      </c>
      <c r="H6" s="55" t="s">
        <v>223</v>
      </c>
      <c r="I6" s="63">
        <f>N25</f>
        <v>6.251017629618244E-2</v>
      </c>
      <c r="J6" s="55" t="s">
        <v>224</v>
      </c>
      <c r="K6" s="64">
        <f>I5/G4</f>
        <v>599.65153214709028</v>
      </c>
      <c r="L6" s="65" t="s">
        <v>225</v>
      </c>
      <c r="M6" s="49"/>
      <c r="N6" s="66" t="s">
        <v>226</v>
      </c>
      <c r="O6" s="67">
        <f>Financials!O96</f>
        <v>0</v>
      </c>
      <c r="P6" s="49"/>
    </row>
    <row r="7" spans="1:16" ht="22" customHeight="1" x14ac:dyDescent="0.2">
      <c r="A7" s="68">
        <f>O20/F12</f>
        <v>24.388435831622175</v>
      </c>
      <c r="B7" s="69" t="s">
        <v>227</v>
      </c>
      <c r="C7" s="70">
        <f>F14/A3</f>
        <v>4.176079597087462E-2</v>
      </c>
      <c r="D7" s="71" t="s">
        <v>228</v>
      </c>
      <c r="E7" s="72">
        <f>(Financials!O16*(1-0.25))/(Financials!O126+Financials!O105+Financials!O96)</f>
        <v>0.20653198093337768</v>
      </c>
      <c r="F7" s="69" t="s">
        <v>196</v>
      </c>
      <c r="G7" s="73">
        <f>(Financials!O96+Financials!O105)/Financials!O126</f>
        <v>4.9617975203940477E-2</v>
      </c>
      <c r="H7" s="74" t="s">
        <v>229</v>
      </c>
      <c r="I7" s="75">
        <v>2.5000000000000001E-2</v>
      </c>
      <c r="J7" s="76" t="s">
        <v>230</v>
      </c>
      <c r="K7" s="77">
        <f>K6/K5-1</f>
        <v>0.62696782740616519</v>
      </c>
      <c r="L7" s="78" t="s">
        <v>231</v>
      </c>
      <c r="M7" s="49"/>
      <c r="N7" s="66" t="s">
        <v>232</v>
      </c>
      <c r="O7" s="67">
        <f>Financials!O105</f>
        <v>767600000</v>
      </c>
      <c r="P7" s="49"/>
    </row>
    <row r="8" spans="1:16" ht="22" customHeight="1" x14ac:dyDescent="0.2">
      <c r="A8" s="7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0" t="s">
        <v>213</v>
      </c>
      <c r="O8" s="81">
        <f>O5/(O6+O7)</f>
        <v>6.2402292860865037E-2</v>
      </c>
      <c r="P8" s="49"/>
    </row>
    <row r="9" spans="1:16" ht="22" customHeight="1" x14ac:dyDescent="0.2">
      <c r="A9" s="82"/>
      <c r="B9" s="83">
        <v>2019</v>
      </c>
      <c r="C9" s="83">
        <v>2020</v>
      </c>
      <c r="D9" s="83">
        <v>2021</v>
      </c>
      <c r="E9" s="83">
        <v>2022</v>
      </c>
      <c r="F9" s="84">
        <v>2023</v>
      </c>
      <c r="G9" s="85">
        <v>2024</v>
      </c>
      <c r="H9" s="85">
        <v>2025</v>
      </c>
      <c r="I9" s="85">
        <v>2026</v>
      </c>
      <c r="J9" s="85">
        <v>2027</v>
      </c>
      <c r="K9" s="86"/>
      <c r="L9" s="87"/>
      <c r="M9" s="87"/>
      <c r="N9" s="66" t="s">
        <v>233</v>
      </c>
      <c r="O9" s="67">
        <f>Financials!O25</f>
        <v>941300000</v>
      </c>
      <c r="P9" s="49"/>
    </row>
    <row r="10" spans="1:16" ht="22" customHeight="1" x14ac:dyDescent="0.2">
      <c r="A10" s="88" t="s">
        <v>234</v>
      </c>
      <c r="B10" s="89">
        <v>4162821000</v>
      </c>
      <c r="C10" s="89">
        <v>6205683000</v>
      </c>
      <c r="D10" s="89">
        <v>7574400000</v>
      </c>
      <c r="E10" s="89">
        <v>8930700000</v>
      </c>
      <c r="F10" s="90">
        <v>9874000000</v>
      </c>
      <c r="G10" s="89">
        <v>10505000000</v>
      </c>
      <c r="H10" s="89">
        <v>11398000000</v>
      </c>
      <c r="I10" s="89">
        <v>12533000000</v>
      </c>
      <c r="J10" s="89">
        <v>13736000000</v>
      </c>
      <c r="K10" s="91" t="s">
        <v>235</v>
      </c>
      <c r="N10" s="66" t="s">
        <v>236</v>
      </c>
      <c r="O10" s="67">
        <f>Financials!O24</f>
        <v>4306200000</v>
      </c>
      <c r="P10" s="49"/>
    </row>
    <row r="11" spans="1:16" ht="22" customHeight="1" x14ac:dyDescent="0.2">
      <c r="A11" s="92"/>
      <c r="B11" s="93"/>
      <c r="C11" s="93">
        <f t="shared" ref="C11:J11" si="0">(C10/B10)-1</f>
        <v>0.49073981321800764</v>
      </c>
      <c r="D11" s="93">
        <f t="shared" si="0"/>
        <v>0.22055863955667743</v>
      </c>
      <c r="E11" s="93">
        <f t="shared" si="0"/>
        <v>0.17906368821292773</v>
      </c>
      <c r="F11" s="94">
        <f t="shared" si="0"/>
        <v>0.10562441913847742</v>
      </c>
      <c r="G11" s="93">
        <f t="shared" si="0"/>
        <v>6.390520559043944E-2</v>
      </c>
      <c r="H11" s="93">
        <f t="shared" si="0"/>
        <v>8.5007139457401237E-2</v>
      </c>
      <c r="I11" s="93">
        <f t="shared" si="0"/>
        <v>9.9578873486576569E-2</v>
      </c>
      <c r="J11" s="93">
        <f t="shared" si="0"/>
        <v>9.5986595388175111E-2</v>
      </c>
      <c r="K11" s="95">
        <f>SUM(F11:J11)/5</f>
        <v>9.002044661221395E-2</v>
      </c>
      <c r="L11" s="87"/>
      <c r="M11" s="87"/>
      <c r="N11" s="66" t="s">
        <v>237</v>
      </c>
      <c r="O11" s="96">
        <f>O9/O10</f>
        <v>0.21859179787283453</v>
      </c>
      <c r="P11" s="49"/>
    </row>
    <row r="12" spans="1:16" ht="22" customHeight="1" x14ac:dyDescent="0.2">
      <c r="A12" s="88" t="s">
        <v>142</v>
      </c>
      <c r="B12" s="89">
        <v>1176810000</v>
      </c>
      <c r="C12" s="89">
        <v>2711647000</v>
      </c>
      <c r="D12" s="89">
        <v>2342100000</v>
      </c>
      <c r="E12" s="89">
        <v>3322000000</v>
      </c>
      <c r="F12" s="90">
        <v>3896000000</v>
      </c>
      <c r="G12" s="89">
        <v>4198000000</v>
      </c>
      <c r="H12" s="89">
        <v>4500000000</v>
      </c>
      <c r="I12" s="89">
        <v>5020000000</v>
      </c>
      <c r="J12" s="89">
        <v>5560000000</v>
      </c>
      <c r="K12" s="91" t="s">
        <v>238</v>
      </c>
      <c r="L12" s="87"/>
      <c r="M12" s="87"/>
      <c r="N12" s="97" t="s">
        <v>239</v>
      </c>
      <c r="O12" s="98">
        <f>O8*(1-O11)</f>
        <v>4.8761663473021397E-2</v>
      </c>
      <c r="P12" s="49"/>
    </row>
    <row r="13" spans="1:16" ht="22" customHeight="1" x14ac:dyDescent="0.2">
      <c r="A13" s="92"/>
      <c r="B13" s="93"/>
      <c r="C13" s="93">
        <f t="shared" ref="C13:J13" si="1">(C12/B12)-1</f>
        <v>1.3042351781511035</v>
      </c>
      <c r="D13" s="93">
        <f t="shared" si="1"/>
        <v>-0.13628138175802385</v>
      </c>
      <c r="E13" s="93">
        <f t="shared" si="1"/>
        <v>0.41838520985440408</v>
      </c>
      <c r="F13" s="94">
        <f t="shared" si="1"/>
        <v>0.17278747742323897</v>
      </c>
      <c r="G13" s="93">
        <f t="shared" si="1"/>
        <v>7.7515400410677726E-2</v>
      </c>
      <c r="H13" s="93">
        <f t="shared" si="1"/>
        <v>7.1939018580276404E-2</v>
      </c>
      <c r="I13" s="93">
        <f t="shared" si="1"/>
        <v>0.11555555555555563</v>
      </c>
      <c r="J13" s="93">
        <f t="shared" si="1"/>
        <v>0.10756972111553775</v>
      </c>
      <c r="K13" s="95">
        <f>SUM(F13:J13)/5</f>
        <v>0.10907343461705729</v>
      </c>
      <c r="L13" s="87"/>
      <c r="M13" s="87"/>
      <c r="N13" s="121" t="s">
        <v>240</v>
      </c>
      <c r="O13" s="122"/>
      <c r="P13" s="49"/>
    </row>
    <row r="14" spans="1:16" ht="22" customHeight="1" x14ac:dyDescent="0.2">
      <c r="A14" s="88" t="s">
        <v>185</v>
      </c>
      <c r="B14" s="89">
        <v>1543233650</v>
      </c>
      <c r="C14" s="89">
        <v>3044298981</v>
      </c>
      <c r="D14" s="89">
        <v>2461253864</v>
      </c>
      <c r="E14" s="89">
        <v>3968212381</v>
      </c>
      <c r="F14" s="90">
        <v>3968000000</v>
      </c>
      <c r="G14" s="89">
        <v>4269000000</v>
      </c>
      <c r="H14" s="89">
        <v>4880000000</v>
      </c>
      <c r="I14" s="89">
        <v>5491000000</v>
      </c>
      <c r="J14" s="89">
        <v>6200000000</v>
      </c>
      <c r="K14" s="91" t="s">
        <v>241</v>
      </c>
      <c r="L14" s="87"/>
      <c r="M14" s="87"/>
      <c r="N14" s="66" t="s">
        <v>242</v>
      </c>
      <c r="O14" s="96">
        <f>'[1]US Treasury Bonds'!$C$8</f>
        <v>4.5080000000000002E-2</v>
      </c>
      <c r="P14" s="49"/>
    </row>
    <row r="15" spans="1:16" ht="22" customHeight="1" x14ac:dyDescent="0.2">
      <c r="A15" s="99"/>
      <c r="B15" s="93"/>
      <c r="C15" s="93">
        <f t="shared" ref="C15:J15" si="2">(C14/B14)-1</f>
        <v>0.97267535022969454</v>
      </c>
      <c r="D15" s="93">
        <f t="shared" si="2"/>
        <v>-0.19152032065144919</v>
      </c>
      <c r="E15" s="93">
        <f t="shared" si="2"/>
        <v>0.61227268712172145</v>
      </c>
      <c r="F15" s="94">
        <f t="shared" si="2"/>
        <v>-5.3520572894982799E-5</v>
      </c>
      <c r="G15" s="93">
        <f t="shared" si="2"/>
        <v>7.5856854838709742E-2</v>
      </c>
      <c r="H15" s="93">
        <f t="shared" si="2"/>
        <v>0.14312485359568994</v>
      </c>
      <c r="I15" s="93">
        <f t="shared" si="2"/>
        <v>0.12520491803278699</v>
      </c>
      <c r="J15" s="93">
        <f t="shared" si="2"/>
        <v>0.12912037880167548</v>
      </c>
      <c r="K15" s="95">
        <f>SUM(F15:J15)/5</f>
        <v>9.4650696939193438E-2</v>
      </c>
      <c r="L15" s="87"/>
      <c r="M15" s="87"/>
      <c r="N15" s="66" t="s">
        <v>243</v>
      </c>
      <c r="O15" s="100" cm="1">
        <f t="array" ref="O15">_FV(A1,"Beta")</f>
        <v>0.45069999999999999</v>
      </c>
      <c r="P15" s="49"/>
    </row>
    <row r="16" spans="1:16" ht="22" customHeight="1" x14ac:dyDescent="0.2">
      <c r="A16" s="88" t="s">
        <v>196</v>
      </c>
      <c r="B16" s="101">
        <v>0.13469761574490491</v>
      </c>
      <c r="C16" s="101">
        <v>0.23113586750763232</v>
      </c>
      <c r="D16" s="101">
        <v>0.19472420494039389</v>
      </c>
      <c r="E16" s="101">
        <v>0.22620684413798822</v>
      </c>
      <c r="F16" s="102"/>
      <c r="G16" s="103"/>
      <c r="H16" s="103"/>
      <c r="I16" s="103"/>
      <c r="J16" s="103"/>
      <c r="K16" s="104"/>
      <c r="L16" s="87"/>
      <c r="M16" s="87"/>
      <c r="N16" s="66" t="s">
        <v>244</v>
      </c>
      <c r="O16" s="96">
        <v>8.4000000000000005E-2</v>
      </c>
      <c r="P16" s="49"/>
    </row>
    <row r="17" spans="1:16" ht="22" customHeight="1" x14ac:dyDescent="0.2">
      <c r="A17" s="87"/>
      <c r="B17" s="105"/>
      <c r="C17" s="105"/>
      <c r="D17" s="105"/>
      <c r="E17" s="105"/>
      <c r="F17" s="87"/>
      <c r="G17" s="87"/>
      <c r="H17" s="87"/>
      <c r="I17" s="87"/>
      <c r="J17" s="87"/>
      <c r="K17" s="87"/>
      <c r="L17" s="87"/>
      <c r="M17" s="87"/>
      <c r="N17" s="106" t="s">
        <v>240</v>
      </c>
      <c r="O17" s="107">
        <f>(O14)+((O15)*(O16-O14))</f>
        <v>6.2621244000000006E-2</v>
      </c>
      <c r="P17" s="49"/>
    </row>
    <row r="18" spans="1:16" ht="22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121" t="s">
        <v>245</v>
      </c>
      <c r="O18" s="122"/>
      <c r="P18" s="49"/>
    </row>
    <row r="19" spans="1:16" ht="22" customHeight="1" x14ac:dyDescent="0.2">
      <c r="A19" s="112" t="str" cm="1">
        <f t="array" ref="A19">_FV(A1,"Industry")</f>
        <v>Biotechnology &amp; Medical Research</v>
      </c>
      <c r="B19" s="112"/>
      <c r="C19" s="123" cm="1">
        <f t="array" ref="C19">_FV(A1,"Year incorporated",TRUE)</f>
        <v>1989</v>
      </c>
      <c r="D19" s="123"/>
      <c r="E19" s="111"/>
      <c r="F19" s="87"/>
      <c r="G19" s="87"/>
      <c r="H19" s="87"/>
      <c r="I19" s="87"/>
      <c r="J19" s="87"/>
      <c r="K19" s="87"/>
      <c r="L19" s="87"/>
      <c r="M19" s="87"/>
      <c r="N19" s="66" t="s">
        <v>223</v>
      </c>
      <c r="O19" s="108">
        <f>O6+O7</f>
        <v>767600000</v>
      </c>
      <c r="P19" s="49"/>
    </row>
    <row r="20" spans="1:16" ht="22" customHeight="1" x14ac:dyDescent="0.2">
      <c r="A20" s="112" t="str" cm="1">
        <f t="array" ref="A20">_FV(A1,"Description")</f>
        <v>Vertex Pharmaceuticals Incorporated is a global biotechnology company. The Company is focused on developing medicines that treat the underlying cause of cystic fibrosis (CF). Its pipeline includes mid- and late-stage clinical programs in sickle cell disease, beta thalassemia, acute and neuropathic pain, APOL1-mediated kidney disease, type 1 diabetes, and alpha-1 antitrypsin deficiency, and earlier-stage programs in diseases such as muscular dystrophies. Its marketed medicines are TRIKAFTA/KAFTRIO (elexacaftor/tezacaftor/ivacaftor and ivacaftor), SYMDEKO/SYMKEVI (tezacaftor/ivacaftor and ivacaftor), ORKAMBI (lumacaftor/ivacaftor) and KALYDECO (ivacaftor). The Company has a pipeline of investigational small molecule, cell and genetic therapies in other serious diseases where it has deep insight into causal human biology, including sickle cell disease, beta thalassemia, APOL1-mediated kidney disease, pain, type 1 diabetes, alpha-1 antitrypsin deficiency and Duchenne muscular dystrophy.</v>
      </c>
      <c r="B20" s="112"/>
      <c r="C20" s="112"/>
      <c r="D20" s="112"/>
      <c r="E20" s="112"/>
      <c r="F20" s="87"/>
      <c r="G20" s="87"/>
      <c r="H20" s="87"/>
      <c r="I20" s="87"/>
      <c r="J20" s="87"/>
      <c r="K20" s="87"/>
      <c r="L20" s="87"/>
      <c r="M20" s="87"/>
      <c r="N20" s="66" t="s">
        <v>201</v>
      </c>
      <c r="O20" s="108" cm="1">
        <f t="array" ref="O20">_FV(A1,"Market cap",TRUE)</f>
        <v>95017346000</v>
      </c>
      <c r="P20" s="49"/>
    </row>
    <row r="21" spans="1:16" ht="22" customHeight="1" x14ac:dyDescent="0.2">
      <c r="A21" s="112"/>
      <c r="B21" s="112"/>
      <c r="C21" s="112"/>
      <c r="D21" s="112"/>
      <c r="E21" s="112"/>
      <c r="F21" s="87"/>
      <c r="G21" s="87"/>
      <c r="H21" s="87"/>
      <c r="I21" s="87"/>
      <c r="J21" s="87"/>
      <c r="K21" s="87"/>
      <c r="M21" s="87"/>
      <c r="N21" s="66" t="s">
        <v>246</v>
      </c>
      <c r="O21" s="108">
        <f>O19+O20</f>
        <v>95784946000</v>
      </c>
      <c r="P21" s="49"/>
    </row>
    <row r="22" spans="1:16" ht="22" customHeight="1" x14ac:dyDescent="0.2">
      <c r="A22" s="112"/>
      <c r="B22" s="112"/>
      <c r="C22" s="112"/>
      <c r="D22" s="112"/>
      <c r="E22" s="112"/>
      <c r="F22" s="87"/>
      <c r="G22" s="87"/>
      <c r="H22" s="87"/>
      <c r="I22" s="87"/>
      <c r="J22" s="87"/>
      <c r="K22" s="87"/>
      <c r="L22" s="87"/>
      <c r="M22" s="87"/>
      <c r="N22" s="80" t="s">
        <v>247</v>
      </c>
      <c r="O22" s="109">
        <f>(O19/O21)</f>
        <v>8.013785381264401E-3</v>
      </c>
      <c r="P22" s="49"/>
    </row>
    <row r="23" spans="1:16" ht="22" customHeight="1" x14ac:dyDescent="0.2">
      <c r="A23" s="112"/>
      <c r="B23" s="112"/>
      <c r="C23" s="112"/>
      <c r="D23" s="112"/>
      <c r="E23" s="112"/>
      <c r="F23" s="87"/>
      <c r="G23" s="87"/>
      <c r="H23" s="87"/>
      <c r="I23" s="87"/>
      <c r="J23" s="87"/>
      <c r="K23" s="87"/>
      <c r="L23" s="87"/>
      <c r="M23" s="87"/>
      <c r="N23" s="106" t="s">
        <v>248</v>
      </c>
      <c r="O23" s="110">
        <f>O20/O21</f>
        <v>0.9919862146187356</v>
      </c>
      <c r="P23" s="49"/>
    </row>
    <row r="24" spans="1:16" ht="22" customHeight="1" x14ac:dyDescent="0.2">
      <c r="A24" s="112"/>
      <c r="B24" s="112"/>
      <c r="C24" s="112"/>
      <c r="D24" s="112"/>
      <c r="E24" s="112"/>
      <c r="F24" s="87"/>
      <c r="G24" s="87"/>
      <c r="H24" s="87"/>
      <c r="I24" s="87"/>
      <c r="J24" s="87"/>
      <c r="K24" s="87"/>
      <c r="L24" s="87"/>
      <c r="M24" s="87"/>
      <c r="N24" s="113" t="s">
        <v>249</v>
      </c>
      <c r="O24" s="114"/>
      <c r="P24" s="49"/>
    </row>
    <row r="25" spans="1:16" ht="22" customHeight="1" x14ac:dyDescent="0.2">
      <c r="A25" s="112"/>
      <c r="B25" s="112"/>
      <c r="C25" s="112"/>
      <c r="D25" s="112"/>
      <c r="E25" s="112"/>
      <c r="F25" s="87"/>
      <c r="G25" s="87"/>
      <c r="H25" s="87"/>
      <c r="I25" s="87"/>
      <c r="J25" s="87"/>
      <c r="K25" s="87"/>
      <c r="L25" s="87"/>
      <c r="M25" s="87"/>
      <c r="N25" s="115">
        <f>(O22*O12)+(O23*O17)</f>
        <v>6.251017629618244E-2</v>
      </c>
      <c r="O25" s="116"/>
      <c r="P25" s="49"/>
    </row>
    <row r="26" spans="1:16" ht="22" customHeight="1" x14ac:dyDescent="0.2">
      <c r="A26" s="112"/>
      <c r="B26" s="112"/>
      <c r="C26" s="112"/>
      <c r="D26" s="112"/>
      <c r="E26" s="112"/>
      <c r="F26" s="87"/>
      <c r="G26" s="87"/>
      <c r="H26" s="87"/>
      <c r="I26" s="87"/>
      <c r="J26" s="87"/>
      <c r="K26" s="87"/>
      <c r="L26" s="87"/>
      <c r="M26" s="87"/>
      <c r="N26" s="87"/>
      <c r="O26" s="49"/>
      <c r="P26" s="49"/>
    </row>
    <row r="27" spans="1:16" ht="22" customHeight="1" x14ac:dyDescent="0.2">
      <c r="A27" s="112"/>
      <c r="B27" s="112"/>
      <c r="C27" s="112"/>
      <c r="D27" s="112"/>
      <c r="E27" s="112"/>
      <c r="F27" s="87"/>
      <c r="G27" s="87"/>
      <c r="H27" s="87"/>
      <c r="I27" s="87"/>
      <c r="J27" s="87"/>
      <c r="K27" s="87"/>
      <c r="L27" s="87"/>
      <c r="M27" s="87"/>
      <c r="N27" s="87"/>
      <c r="O27" s="49"/>
      <c r="P27" s="49"/>
    </row>
    <row r="28" spans="1:16" ht="22" customHeight="1" x14ac:dyDescent="0.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49"/>
      <c r="P28" s="49"/>
    </row>
    <row r="29" spans="1:16" ht="22" customHeight="1" x14ac:dyDescent="0.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49"/>
      <c r="P29" s="49"/>
    </row>
    <row r="30" spans="1:16" ht="22" customHeight="1" x14ac:dyDescent="0.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49"/>
      <c r="P30" s="49"/>
    </row>
    <row r="31" spans="1:16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</row>
    <row r="32" spans="1:16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x14ac:dyDescent="0.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</row>
    <row r="34" spans="1:16" x14ac:dyDescent="0.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</row>
    <row r="35" spans="1:16" x14ac:dyDescent="0.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</row>
    <row r="36" spans="1:16" x14ac:dyDescent="0.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</row>
    <row r="37" spans="1:16" x14ac:dyDescent="0.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</row>
    <row r="38" spans="1:16" x14ac:dyDescent="0.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</row>
    <row r="39" spans="1:16" x14ac:dyDescent="0.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</row>
    <row r="40" spans="1:16" x14ac:dyDescent="0.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</row>
    <row r="41" spans="1:16" x14ac:dyDescent="0.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</row>
    <row r="42" spans="1:16" x14ac:dyDescent="0.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</row>
    <row r="43" spans="1:16" x14ac:dyDescent="0.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</row>
    <row r="44" spans="1:16" x14ac:dyDescent="0.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</row>
    <row r="45" spans="1:16" x14ac:dyDescent="0.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</row>
    <row r="46" spans="1:16" x14ac:dyDescent="0.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</row>
    <row r="47" spans="1:16" x14ac:dyDescent="0.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</row>
    <row r="48" spans="1:16" x14ac:dyDescent="0.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</row>
    <row r="49" spans="1:16" x14ac:dyDescent="0.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</row>
    <row r="50" spans="1:16" x14ac:dyDescent="0.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</row>
    <row r="51" spans="1:16" x14ac:dyDescent="0.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</row>
    <row r="52" spans="1:16" x14ac:dyDescent="0.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</row>
    <row r="53" spans="1:16" x14ac:dyDescent="0.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</row>
    <row r="54" spans="1:16" x14ac:dyDescent="0.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</row>
    <row r="55" spans="1:16" x14ac:dyDescent="0.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</row>
    <row r="56" spans="1:16" x14ac:dyDescent="0.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</row>
    <row r="57" spans="1:16" x14ac:dyDescent="0.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</row>
    <row r="58" spans="1:16" x14ac:dyDescent="0.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</row>
    <row r="59" spans="1:16" x14ac:dyDescent="0.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</row>
    <row r="60" spans="1:16" x14ac:dyDescent="0.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</row>
    <row r="61" spans="1:16" x14ac:dyDescent="0.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</row>
    <row r="62" spans="1:16" x14ac:dyDescent="0.2">
      <c r="O62" s="49"/>
      <c r="P62" s="49"/>
    </row>
    <row r="63" spans="1:16" x14ac:dyDescent="0.2">
      <c r="O63" s="49"/>
      <c r="P63" s="49"/>
    </row>
    <row r="64" spans="1:16" x14ac:dyDescent="0.2">
      <c r="O64" s="49"/>
      <c r="P64" s="49"/>
    </row>
    <row r="65" spans="15:16" x14ac:dyDescent="0.2">
      <c r="O65" s="49"/>
      <c r="P65" s="49"/>
    </row>
    <row r="66" spans="15:16" x14ac:dyDescent="0.2">
      <c r="O66" s="49"/>
      <c r="P66" s="49"/>
    </row>
    <row r="67" spans="15:16" x14ac:dyDescent="0.2">
      <c r="O67" s="49"/>
      <c r="P67" s="49"/>
    </row>
    <row r="68" spans="15:16" x14ac:dyDescent="0.2">
      <c r="O68" s="49"/>
      <c r="P68" s="49"/>
    </row>
    <row r="69" spans="15:16" x14ac:dyDescent="0.2">
      <c r="O69" s="49"/>
      <c r="P69" s="49"/>
    </row>
    <row r="70" spans="15:16" x14ac:dyDescent="0.2">
      <c r="O70" s="49"/>
      <c r="P70" s="49"/>
    </row>
    <row r="71" spans="15:16" x14ac:dyDescent="0.2">
      <c r="O71" s="49"/>
      <c r="P71" s="49"/>
    </row>
    <row r="72" spans="15:16" x14ac:dyDescent="0.2">
      <c r="O72" s="49"/>
      <c r="P72" s="49"/>
    </row>
    <row r="73" spans="15:16" x14ac:dyDescent="0.2">
      <c r="O73" s="49"/>
      <c r="P73" s="49"/>
    </row>
    <row r="74" spans="15:16" x14ac:dyDescent="0.2">
      <c r="O74" s="49"/>
      <c r="P74" s="49"/>
    </row>
    <row r="75" spans="15:16" x14ac:dyDescent="0.2">
      <c r="O75" s="49"/>
      <c r="P75" s="49"/>
    </row>
    <row r="76" spans="15:16" x14ac:dyDescent="0.2">
      <c r="O76" s="49"/>
      <c r="P76" s="49"/>
    </row>
    <row r="77" spans="15:16" x14ac:dyDescent="0.2">
      <c r="O77" s="49"/>
      <c r="P77" s="49"/>
    </row>
    <row r="78" spans="15:16" x14ac:dyDescent="0.2">
      <c r="O78" s="49"/>
      <c r="P78" s="49"/>
    </row>
    <row r="79" spans="15:16" x14ac:dyDescent="0.2">
      <c r="O79" s="49"/>
      <c r="P79" s="49"/>
    </row>
    <row r="80" spans="15:16" x14ac:dyDescent="0.2">
      <c r="O80" s="49"/>
      <c r="P80" s="49"/>
    </row>
    <row r="81" spans="15:16" x14ac:dyDescent="0.2">
      <c r="O81" s="49"/>
      <c r="P81" s="49"/>
    </row>
    <row r="82" spans="15:16" x14ac:dyDescent="0.2">
      <c r="O82" s="49"/>
      <c r="P82" s="49"/>
    </row>
    <row r="83" spans="15:16" x14ac:dyDescent="0.2">
      <c r="O83" s="49"/>
      <c r="P83" s="49"/>
    </row>
    <row r="84" spans="15:16" x14ac:dyDescent="0.2">
      <c r="O84" s="49"/>
      <c r="P84" s="49"/>
    </row>
    <row r="85" spans="15:16" x14ac:dyDescent="0.2">
      <c r="O85" s="49"/>
      <c r="P85" s="49"/>
    </row>
    <row r="86" spans="15:16" x14ac:dyDescent="0.2">
      <c r="O86" s="49"/>
      <c r="P86" s="49"/>
    </row>
    <row r="87" spans="15:16" x14ac:dyDescent="0.2">
      <c r="O87" s="49"/>
      <c r="P87" s="49"/>
    </row>
    <row r="88" spans="15:16" x14ac:dyDescent="0.2">
      <c r="O88" s="49"/>
      <c r="P88" s="49"/>
    </row>
    <row r="89" spans="15:16" x14ac:dyDescent="0.2">
      <c r="O89" s="49"/>
      <c r="P89" s="49"/>
    </row>
    <row r="90" spans="15:16" x14ac:dyDescent="0.2">
      <c r="O90" s="49"/>
      <c r="P90" s="49"/>
    </row>
    <row r="91" spans="15:16" x14ac:dyDescent="0.2">
      <c r="O91" s="49"/>
      <c r="P91" s="49"/>
    </row>
    <row r="92" spans="15:16" x14ac:dyDescent="0.2">
      <c r="O92" s="49"/>
      <c r="P92" s="49"/>
    </row>
    <row r="93" spans="15:16" x14ac:dyDescent="0.2">
      <c r="O93" s="49"/>
      <c r="P93" s="49"/>
    </row>
    <row r="94" spans="15:16" x14ac:dyDescent="0.2">
      <c r="O94" s="49"/>
      <c r="P94" s="49"/>
    </row>
    <row r="95" spans="15:16" x14ac:dyDescent="0.2">
      <c r="O95" s="49"/>
      <c r="P95" s="49"/>
    </row>
    <row r="96" spans="15:16" x14ac:dyDescent="0.2">
      <c r="O96" s="49"/>
      <c r="P96" s="49"/>
    </row>
    <row r="97" spans="15:16" x14ac:dyDescent="0.2">
      <c r="O97" s="49"/>
      <c r="P97" s="49"/>
    </row>
    <row r="98" spans="15:16" x14ac:dyDescent="0.2">
      <c r="O98" s="49"/>
      <c r="P98" s="49"/>
    </row>
    <row r="99" spans="15:16" x14ac:dyDescent="0.2">
      <c r="O99" s="49"/>
      <c r="P99" s="49"/>
    </row>
    <row r="100" spans="15:16" x14ac:dyDescent="0.2">
      <c r="O100" s="49"/>
      <c r="P100" s="49"/>
    </row>
    <row r="101" spans="15:16" x14ac:dyDescent="0.2">
      <c r="O101" s="49"/>
      <c r="P101" s="49"/>
    </row>
    <row r="102" spans="15:16" x14ac:dyDescent="0.2">
      <c r="O102" s="49"/>
      <c r="P102" s="49"/>
    </row>
    <row r="103" spans="15:16" x14ac:dyDescent="0.2">
      <c r="O103" s="49"/>
      <c r="P103" s="49"/>
    </row>
    <row r="104" spans="15:16" x14ac:dyDescent="0.2">
      <c r="O104" s="49"/>
      <c r="P104" s="49"/>
    </row>
    <row r="105" spans="15:16" x14ac:dyDescent="0.2">
      <c r="O105" s="49"/>
      <c r="P105" s="49"/>
    </row>
    <row r="106" spans="15:16" x14ac:dyDescent="0.2">
      <c r="O106" s="49"/>
      <c r="P106" s="49"/>
    </row>
    <row r="107" spans="15:16" x14ac:dyDescent="0.2">
      <c r="O107" s="49"/>
      <c r="P107" s="49"/>
    </row>
    <row r="108" spans="15:16" x14ac:dyDescent="0.2">
      <c r="O108" s="49"/>
      <c r="P108" s="49"/>
    </row>
    <row r="109" spans="15:16" x14ac:dyDescent="0.2">
      <c r="O109" s="49"/>
      <c r="P109" s="49"/>
    </row>
    <row r="110" spans="15:16" x14ac:dyDescent="0.2">
      <c r="O110" s="49"/>
      <c r="P110" s="49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VRTX/explorer/revenue_proj" xr:uid="{F3C0BCFE-8AAF-AB4A-922B-4CED1D64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2023-11-10T08:40:09Z</dcterms:modified>
</cp:coreProperties>
</file>