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FE93276D-E813-A14A-A07F-A0FE476A1AA9}" xr6:coauthVersionLast="47" xr6:coauthVersionMax="47" xr10:uidLastSave="{00000000-0000-0000-0000-000000000000}"/>
  <bookViews>
    <workbookView xWindow="0" yWindow="500" windowWidth="2918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2" hidden="1">'Sheet 1'!$A$3</definedName>
    <definedName name="_xlchart.v1.3" hidden="1">'Sheet 1'!$B$106:$M$106</definedName>
    <definedName name="_xlchart.v1.4" hidden="1">'Sheet 1'!$B$19:$M$19</definedName>
    <definedName name="_xlchart.v1.5" hidden="1">'Sheet 1'!$B$3:$M$3</definedName>
    <definedName name="_xlchart.v2.10" hidden="1">'Sheet 1'!$B$19:$M$19</definedName>
    <definedName name="_xlchart.v2.11" hidden="1">'Sheet 1'!$B$3:$M$3</definedName>
    <definedName name="_xlchart.v2.6" hidden="1">'Sheet 1'!$A$106</definedName>
    <definedName name="_xlchart.v2.7" hidden="1">'Sheet 1'!$A$19</definedName>
    <definedName name="_xlchart.v2.8" hidden="1">'Sheet 1'!$A$3</definedName>
    <definedName name="_xlchart.v2.9" hidden="1">'Sheet 1'!$B$106:$M$106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1" i="1" l="1"/>
  <c r="N106" i="1"/>
  <c r="N108" i="1"/>
  <c r="S19" i="1"/>
  <c r="V16" i="1"/>
  <c r="U16" i="1"/>
  <c r="T16" i="1"/>
  <c r="S16" i="1"/>
  <c r="V13" i="1"/>
  <c r="U13" i="1"/>
  <c r="T13" i="1"/>
  <c r="S13" i="1"/>
  <c r="V10" i="1"/>
  <c r="U10" i="1"/>
  <c r="T10" i="1"/>
  <c r="S10" i="1"/>
  <c r="V7" i="1"/>
  <c r="U7" i="1"/>
  <c r="T7" i="1"/>
  <c r="S7" i="1"/>
  <c r="V4" i="1"/>
  <c r="U4" i="1"/>
  <c r="T4" i="1"/>
  <c r="S4" i="1"/>
  <c r="O114" i="1"/>
  <c r="O106" i="1"/>
  <c r="P106" i="1" s="1"/>
  <c r="Q106" i="1" s="1"/>
  <c r="R106" i="1" s="1"/>
  <c r="O111" i="1"/>
  <c r="U97" i="1"/>
  <c r="U90" i="1"/>
  <c r="U91" i="1" s="1"/>
  <c r="U89" i="1"/>
  <c r="U87" i="1"/>
  <c r="U86" i="1"/>
  <c r="U99" i="1" s="1"/>
  <c r="U85" i="1"/>
  <c r="R4" i="1"/>
  <c r="Q4" i="1"/>
  <c r="P4" i="1"/>
  <c r="O4" i="1"/>
  <c r="N4" i="1"/>
  <c r="M105" i="1"/>
  <c r="L105" i="1"/>
  <c r="K105" i="1"/>
  <c r="J105" i="1"/>
  <c r="I105" i="1"/>
  <c r="H105" i="1"/>
  <c r="G105" i="1"/>
  <c r="F105" i="1"/>
  <c r="E105" i="1"/>
  <c r="D105" i="1"/>
  <c r="C105" i="1"/>
  <c r="M89" i="1"/>
  <c r="L89" i="1"/>
  <c r="K89" i="1"/>
  <c r="J89" i="1"/>
  <c r="I89" i="1"/>
  <c r="H89" i="1"/>
  <c r="G89" i="1"/>
  <c r="F89" i="1"/>
  <c r="E89" i="1"/>
  <c r="D89" i="1"/>
  <c r="C89" i="1"/>
  <c r="B89" i="1"/>
  <c r="M80" i="1"/>
  <c r="L80" i="1"/>
  <c r="K80" i="1"/>
  <c r="J80" i="1"/>
  <c r="I80" i="1"/>
  <c r="H80" i="1"/>
  <c r="G80" i="1"/>
  <c r="F80" i="1"/>
  <c r="E80" i="1"/>
  <c r="D80" i="1"/>
  <c r="C80" i="1"/>
  <c r="B80" i="1"/>
  <c r="M35" i="1"/>
  <c r="L35" i="1"/>
  <c r="K35" i="1"/>
  <c r="J35" i="1"/>
  <c r="I35" i="1"/>
  <c r="H35" i="1"/>
  <c r="G35" i="1"/>
  <c r="F35" i="1"/>
  <c r="E35" i="1"/>
  <c r="D35" i="1"/>
  <c r="C35" i="1"/>
  <c r="M29" i="1"/>
  <c r="L29" i="1"/>
  <c r="K29" i="1"/>
  <c r="J29" i="1"/>
  <c r="I29" i="1"/>
  <c r="H29" i="1"/>
  <c r="G29" i="1"/>
  <c r="F29" i="1"/>
  <c r="E29" i="1"/>
  <c r="D29" i="1"/>
  <c r="C29" i="1"/>
  <c r="M20" i="1"/>
  <c r="L20" i="1"/>
  <c r="K20" i="1"/>
  <c r="J20" i="1"/>
  <c r="I20" i="1"/>
  <c r="H20" i="1"/>
  <c r="G20" i="1"/>
  <c r="F20" i="1"/>
  <c r="E20" i="1"/>
  <c r="D20" i="1"/>
  <c r="C20" i="1"/>
  <c r="M13" i="1"/>
  <c r="L13" i="1"/>
  <c r="K13" i="1"/>
  <c r="J13" i="1"/>
  <c r="I13" i="1"/>
  <c r="H13" i="1"/>
  <c r="G13" i="1"/>
  <c r="F13" i="1"/>
  <c r="E13" i="1"/>
  <c r="D13" i="1"/>
  <c r="C13" i="1"/>
  <c r="B13" i="1"/>
  <c r="M9" i="1"/>
  <c r="L9" i="1"/>
  <c r="K9" i="1"/>
  <c r="J9" i="1"/>
  <c r="I9" i="1"/>
  <c r="H9" i="1"/>
  <c r="G9" i="1"/>
  <c r="F9" i="1"/>
  <c r="E9" i="1"/>
  <c r="D9" i="1"/>
  <c r="C9" i="1"/>
  <c r="B9" i="1"/>
  <c r="M4" i="1"/>
  <c r="L4" i="1"/>
  <c r="K4" i="1"/>
  <c r="J4" i="1"/>
  <c r="I4" i="1"/>
  <c r="H4" i="1"/>
  <c r="G4" i="1"/>
  <c r="F4" i="1"/>
  <c r="E4" i="1"/>
  <c r="D4" i="1"/>
  <c r="C4" i="1"/>
  <c r="U106" i="1" l="1"/>
  <c r="U88" i="1"/>
  <c r="O112" i="1"/>
  <c r="U103" i="1"/>
  <c r="U102" i="1" s="1"/>
  <c r="O108" i="1"/>
  <c r="U92" i="1"/>
  <c r="P108" i="1" l="1"/>
  <c r="U100" i="1"/>
  <c r="U105" i="1" s="1"/>
  <c r="U108" i="1" s="1"/>
  <c r="R107" i="1" l="1"/>
  <c r="R108" i="1" s="1"/>
  <c r="Q108" i="1"/>
  <c r="O110" i="1" l="1"/>
  <c r="O113" i="1" s="1"/>
  <c r="O115" i="1" s="1"/>
  <c r="O118" i="1" s="1"/>
  <c r="O117" i="1" l="1"/>
</calcChain>
</file>

<file path=xl/sharedStrings.xml><?xml version="1.0" encoding="utf-8"?>
<sst xmlns="http://schemas.openxmlformats.org/spreadsheetml/2006/main" count="398" uniqueCount="161">
  <si>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</si>
  <si>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</si>
  <si>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</si>
  <si>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</si>
  <si>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</si>
  <si>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</si>
  <si>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</si>
  <si>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</si>
  <si>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</si>
  <si>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</si>
  <si>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</si>
  <si>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</si>
  <si>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</si>
  <si>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</si>
  <si>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</si>
  <si>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</si>
  <si>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</si>
  <si>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</si>
  <si>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</si>
  <si>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</si>
  <si>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</si>
  <si>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</si>
  <si>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</si>
  <si>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</si>
  <si>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</si>
  <si>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</si>
  <si>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</si>
  <si>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</si>
  <si>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</si>
  <si>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</si>
  <si>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</si>
  <si>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</si>
  <si>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</si>
  <si>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</si>
  <si>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</si>
  <si>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</si>
  <si>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</si>
  <si>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</si>
  <si>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</si>
  <si>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</si>
  <si>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</si>
  <si>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</si>
  <si>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</si>
  <si>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</si>
  <si>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</si>
  <si>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</si>
  <si>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</si>
  <si>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</si>
  <si>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</si>
  <si>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</si>
  <si>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</si>
  <si>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</si>
  <si>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</si>
  <si>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</si>
  <si>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</si>
  <si>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</si>
  <si>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</si>
  <si>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</si>
  <si>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</si>
  <si>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</si>
  <si>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</si>
  <si>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</si>
  <si>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</si>
  <si>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</si>
  <si>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</si>
  <si>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</si>
  <si>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</si>
  <si>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</si>
  <si>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</si>
  <si>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</si>
  <si>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</si>
  <si>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</si>
  <si>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</si>
  <si>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</si>
  <si>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</si>
  <si>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</si>
  <si>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</si>
  <si>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</si>
  <si>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</si>
  <si>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</si>
  <si>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</si>
  <si>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</si>
  <si>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</si>
  <si>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</si>
  <si>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</si>
  <si>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</si>
  <si>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</si>
  <si>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</si>
  <si>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</si>
  <si>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</si>
  <si>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</si>
  <si>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</si>
  <si>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</si>
  <si>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</si>
  <si>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Arista Networks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</si>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</sst>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41195226936834E-2"/>
          <c:y val="0.13283800243605359"/>
          <c:w val="0.86060545179424397"/>
          <c:h val="0.7111078289391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1'!$B$3:$M$3</c:f>
              <c:numCache>
                <c:formatCode>#,###,,;\(#,###,,\);\ \-\ \-</c:formatCode>
                <c:ptCount val="12"/>
                <c:pt idx="0">
                  <c:v>139848000</c:v>
                </c:pt>
                <c:pt idx="1">
                  <c:v>193408000</c:v>
                </c:pt>
                <c:pt idx="2">
                  <c:v>361224000</c:v>
                </c:pt>
                <c:pt idx="3">
                  <c:v>584106000</c:v>
                </c:pt>
                <c:pt idx="4">
                  <c:v>837591000</c:v>
                </c:pt>
                <c:pt idx="5">
                  <c:v>1129167000</c:v>
                </c:pt>
                <c:pt idx="6">
                  <c:v>1646186000</c:v>
                </c:pt>
                <c:pt idx="7">
                  <c:v>2151369000</c:v>
                </c:pt>
                <c:pt idx="8">
                  <c:v>2410706000</c:v>
                </c:pt>
                <c:pt idx="9">
                  <c:v>2317512000</c:v>
                </c:pt>
                <c:pt idx="10">
                  <c:v>2948037000</c:v>
                </c:pt>
                <c:pt idx="11">
                  <c:v>4381310000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2-C04E-95C7-24C761FA2BCF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1'!$B$19:$M$19</c:f>
              <c:numCache>
                <c:formatCode>#,###,,;\(#,###,,\);\ \-\ \-</c:formatCode>
                <c:ptCount val="12"/>
                <c:pt idx="0">
                  <c:v>45336000</c:v>
                </c:pt>
                <c:pt idx="1">
                  <c:v>41811000</c:v>
                </c:pt>
                <c:pt idx="2">
                  <c:v>70438000</c:v>
                </c:pt>
                <c:pt idx="3">
                  <c:v>137809000</c:v>
                </c:pt>
                <c:pt idx="4">
                  <c:v>162832000</c:v>
                </c:pt>
                <c:pt idx="5">
                  <c:v>265110000</c:v>
                </c:pt>
                <c:pt idx="6">
                  <c:v>498180000</c:v>
                </c:pt>
                <c:pt idx="7">
                  <c:v>319173000</c:v>
                </c:pt>
                <c:pt idx="8">
                  <c:v>946263000</c:v>
                </c:pt>
                <c:pt idx="9">
                  <c:v>810592000</c:v>
                </c:pt>
                <c:pt idx="10">
                  <c:v>988428000</c:v>
                </c:pt>
                <c:pt idx="11">
                  <c:v>1657263000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2-C04E-95C7-24C761FA2BCF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1'!$B$106:$M$106</c:f>
              <c:numCache>
                <c:formatCode>#,###,,;\(#,###,,\);\ \-\ \-</c:formatCode>
                <c:ptCount val="12"/>
                <c:pt idx="0">
                  <c:v>9660000</c:v>
                </c:pt>
                <c:pt idx="1">
                  <c:v>22994000</c:v>
                </c:pt>
                <c:pt idx="2">
                  <c:v>14332000</c:v>
                </c:pt>
                <c:pt idx="3">
                  <c:v>101382000</c:v>
                </c:pt>
                <c:pt idx="4">
                  <c:v>180544000</c:v>
                </c:pt>
                <c:pt idx="5">
                  <c:v>110021000</c:v>
                </c:pt>
                <c:pt idx="6">
                  <c:v>616348000</c:v>
                </c:pt>
                <c:pt idx="7">
                  <c:v>479289000</c:v>
                </c:pt>
                <c:pt idx="8">
                  <c:v>947283000</c:v>
                </c:pt>
                <c:pt idx="9">
                  <c:v>719730000</c:v>
                </c:pt>
                <c:pt idx="10">
                  <c:v>951120000</c:v>
                </c:pt>
                <c:pt idx="11">
                  <c:v>448169000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2-C04E-95C7-24C761FA2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822352"/>
        <c:axId val="115824080"/>
      </c:barChart>
      <c:catAx>
        <c:axId val="1158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4080"/>
        <c:crosses val="autoZero"/>
        <c:auto val="1"/>
        <c:lblAlgn val="ctr"/>
        <c:lblOffset val="100"/>
        <c:noMultiLvlLbl val="0"/>
      </c:catAx>
      <c:valAx>
        <c:axId val="1158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31794883871997"/>
          <c:y val="0.91595979552495033"/>
          <c:w val="0.30330444518106042"/>
          <c:h val="4.9935454170542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39687</xdr:colOff>
      <xdr:row>108</xdr:row>
      <xdr:rowOff>9525</xdr:rowOff>
    </xdr:from>
    <xdr:to>
      <xdr:col>21</xdr:col>
      <xdr:colOff>15874</xdr:colOff>
      <xdr:row>131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4452A-6D94-E7AD-3943-2B04FE157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96532/000159653215000004/anet20141231-10k.htm" TargetMode="External"/><Relationship Id="rId13" Type="http://schemas.openxmlformats.org/officeDocument/2006/relationships/hyperlink" Target="https://www.sec.gov/Archives/edgar/data/1596532/000159653217000019/0001596532-17-000019-index.html" TargetMode="External"/><Relationship Id="rId18" Type="http://schemas.openxmlformats.org/officeDocument/2006/relationships/hyperlink" Target="https://www.sec.gov/Archives/edgar/data/1596532/000159653220000024/0001596532-20-000024-index.html" TargetMode="External"/><Relationship Id="rId26" Type="http://schemas.openxmlformats.org/officeDocument/2006/relationships/hyperlink" Target="https://finbox.com/NYSE:ANET/explorer/revenue_proj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596532/000159653221000049/0001596532-21-000049-index.htm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596532/000159653217000019/0001596532-17-000019-index.html" TargetMode="External"/><Relationship Id="rId17" Type="http://schemas.openxmlformats.org/officeDocument/2006/relationships/hyperlink" Target="https://www.sec.gov/Archives/edgar/data/1596532/000159653219000027/0001596532-19-000027-index.html" TargetMode="External"/><Relationship Id="rId25" Type="http://schemas.openxmlformats.org/officeDocument/2006/relationships/hyperlink" Target="https://www.sec.gov/Archives/edgar/data/1596532/000159653223000016/0001596532-23-000016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596532/000159653219000027/0001596532-19-000027-index.html" TargetMode="External"/><Relationship Id="rId20" Type="http://schemas.openxmlformats.org/officeDocument/2006/relationships/hyperlink" Target="https://www.sec.gov/Archives/edgar/data/1596532/000159653221000049/0001596532-21-000049-index.htm" TargetMode="External"/><Relationship Id="rId1" Type="http://schemas.openxmlformats.org/officeDocument/2006/relationships/hyperlink" Target="https://roic.ai/company/ANET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596532/000159653216000244/0001596532-16-000244-index.html" TargetMode="External"/><Relationship Id="rId24" Type="http://schemas.openxmlformats.org/officeDocument/2006/relationships/hyperlink" Target="https://www.sec.gov/Archives/edgar/data/1596532/000159653223000016/0001596532-23-000016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596532/000159653218000018/0001596532-18-000018-index.html" TargetMode="External"/><Relationship Id="rId23" Type="http://schemas.openxmlformats.org/officeDocument/2006/relationships/hyperlink" Target="https://www.sec.gov/Archives/edgar/data/1596532/000159653222000026/0001596532-22-000026-index.htm" TargetMode="External"/><Relationship Id="rId10" Type="http://schemas.openxmlformats.org/officeDocument/2006/relationships/hyperlink" Target="https://www.sec.gov/Archives/edgar/data/1596532/000159653216000244/0001596532-16-000244-index.html" TargetMode="External"/><Relationship Id="rId19" Type="http://schemas.openxmlformats.org/officeDocument/2006/relationships/hyperlink" Target="https://www.sec.gov/Archives/edgar/data/1596532/000159653220000024/0001596532-20-000024-index.html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596532/000159653215000004/anet20141231-10k.htm" TargetMode="External"/><Relationship Id="rId14" Type="http://schemas.openxmlformats.org/officeDocument/2006/relationships/hyperlink" Target="https://www.sec.gov/Archives/edgar/data/1596532/000159653218000018/0001596532-18-000018-index.html" TargetMode="External"/><Relationship Id="rId22" Type="http://schemas.openxmlformats.org/officeDocument/2006/relationships/hyperlink" Target="https://www.sec.gov/Archives/edgar/data/1596532/000159653222000026/0001596532-22-000026-index.htm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8"/>
  <sheetViews>
    <sheetView tabSelected="1" zoomScale="80" zoomScaleNormal="80" workbookViewId="0">
      <pane xSplit="1" ySplit="1" topLeftCell="I69" activePane="bottomRight" state="frozen"/>
      <selection pane="topRight"/>
      <selection pane="bottomLeft"/>
      <selection pane="bottomRight" activeCell="P77" sqref="P77"/>
    </sheetView>
  </sheetViews>
  <sheetFormatPr baseColWidth="10" defaultRowHeight="16" x14ac:dyDescent="0.2"/>
  <cols>
    <col min="1" max="1" width="50" customWidth="1"/>
    <col min="2" max="13" width="15" customWidth="1"/>
    <col min="14" max="22" width="21" customWidth="1"/>
  </cols>
  <sheetData>
    <row r="1" spans="1:22" ht="22" thickBot="1" x14ac:dyDescent="0.3">
      <c r="A1" s="3" t="s">
        <v>94</v>
      </c>
      <c r="B1" s="8">
        <v>2011</v>
      </c>
      <c r="C1" s="8">
        <v>2012</v>
      </c>
      <c r="D1" s="8">
        <v>2013</v>
      </c>
      <c r="E1" s="8">
        <v>2014</v>
      </c>
      <c r="F1" s="8">
        <v>2015</v>
      </c>
      <c r="G1" s="8">
        <v>2016</v>
      </c>
      <c r="H1" s="8">
        <v>2017</v>
      </c>
      <c r="I1" s="8">
        <v>2018</v>
      </c>
      <c r="J1" s="8">
        <v>2019</v>
      </c>
      <c r="K1" s="8">
        <v>2020</v>
      </c>
      <c r="L1" s="8">
        <v>2021</v>
      </c>
      <c r="M1" s="8">
        <v>2022</v>
      </c>
      <c r="N1" s="27">
        <v>2023</v>
      </c>
      <c r="O1" s="27">
        <v>2024</v>
      </c>
      <c r="P1" s="27">
        <v>2025</v>
      </c>
      <c r="Q1" s="27">
        <v>2026</v>
      </c>
      <c r="R1" s="27">
        <v>2027</v>
      </c>
    </row>
    <row r="2" spans="1:2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/>
      <c r="R2" s="9"/>
      <c r="S2" s="9"/>
      <c r="T2" s="9"/>
      <c r="U2" s="9"/>
      <c r="V2" s="9"/>
    </row>
    <row r="3" spans="1:22" ht="40" x14ac:dyDescent="0.25">
      <c r="A3" s="5" t="s">
        <v>1</v>
      </c>
      <c r="B3" s="1">
        <v>139848000</v>
      </c>
      <c r="C3" s="1">
        <v>193408000</v>
      </c>
      <c r="D3" s="1">
        <v>361224000</v>
      </c>
      <c r="E3" s="1">
        <v>584106000</v>
      </c>
      <c r="F3" s="1">
        <v>837591000</v>
      </c>
      <c r="G3" s="1">
        <v>1129167000</v>
      </c>
      <c r="H3" s="1">
        <v>1646186000</v>
      </c>
      <c r="I3" s="1">
        <v>2151369000</v>
      </c>
      <c r="J3" s="1">
        <v>2410706000</v>
      </c>
      <c r="K3" s="1">
        <v>2317512000</v>
      </c>
      <c r="L3" s="1">
        <v>2948037000</v>
      </c>
      <c r="M3" s="1">
        <v>4381310000</v>
      </c>
      <c r="N3" s="28">
        <v>5485000000</v>
      </c>
      <c r="O3" s="28">
        <v>6084000000</v>
      </c>
      <c r="P3" s="28">
        <v>6608000000</v>
      </c>
      <c r="Q3" s="28">
        <v>7160000000</v>
      </c>
      <c r="R3" s="28">
        <v>7614000000</v>
      </c>
      <c r="S3" s="18" t="s">
        <v>110</v>
      </c>
      <c r="T3" s="19" t="s">
        <v>111</v>
      </c>
      <c r="U3" s="19" t="s">
        <v>112</v>
      </c>
      <c r="V3" s="19" t="s">
        <v>113</v>
      </c>
    </row>
    <row r="4" spans="1:22" ht="19" x14ac:dyDescent="0.25">
      <c r="A4" s="14" t="s">
        <v>95</v>
      </c>
      <c r="B4" s="1"/>
      <c r="C4" s="15">
        <f>(C3/B3)-1</f>
        <v>0.38298724329271772</v>
      </c>
      <c r="D4" s="15">
        <f>(D3/C3)-1</f>
        <v>0.8676786896095301</v>
      </c>
      <c r="E4" s="15">
        <f>(E3/D3)-1</f>
        <v>0.61701880273735954</v>
      </c>
      <c r="F4" s="15">
        <f t="shared" ref="F4:V4" si="0">(F3/E3)-1</f>
        <v>0.43397088884551782</v>
      </c>
      <c r="G4" s="15">
        <f t="shared" si="0"/>
        <v>0.3481126229866367</v>
      </c>
      <c r="H4" s="16">
        <f t="shared" si="0"/>
        <v>0.4578764699995661</v>
      </c>
      <c r="I4" s="16">
        <f t="shared" si="0"/>
        <v>0.30688087494365757</v>
      </c>
      <c r="J4" s="16">
        <f t="shared" si="0"/>
        <v>0.12054510407094265</v>
      </c>
      <c r="K4" s="16">
        <f t="shared" si="0"/>
        <v>-3.8658384722151884E-2</v>
      </c>
      <c r="L4" s="16">
        <f t="shared" si="0"/>
        <v>0.27206978863539866</v>
      </c>
      <c r="M4" s="16">
        <f t="shared" si="0"/>
        <v>0.48617876912671032</v>
      </c>
      <c r="N4" s="16">
        <f t="shared" si="0"/>
        <v>0.25190867571571052</v>
      </c>
      <c r="O4" s="16">
        <f t="shared" si="0"/>
        <v>0.10920692798541487</v>
      </c>
      <c r="P4" s="16">
        <f t="shared" si="0"/>
        <v>8.6127547666009274E-2</v>
      </c>
      <c r="Q4" s="16">
        <f t="shared" si="0"/>
        <v>8.3535108958837867E-2</v>
      </c>
      <c r="R4" s="16">
        <f t="shared" si="0"/>
        <v>6.340782122905031E-2</v>
      </c>
      <c r="S4" s="17">
        <f>(M4+L4+K4)/3</f>
        <v>0.23986339101331902</v>
      </c>
      <c r="T4" s="17">
        <f>(M20+L20+K20)/3</f>
        <v>0.25089335709787719</v>
      </c>
      <c r="U4" s="17">
        <f>(M29+L29+K29)/3</f>
        <v>0.22383153679403309</v>
      </c>
      <c r="V4" s="17">
        <f>(M105+L105+K105)/3</f>
        <v>-0.14917320382335106</v>
      </c>
    </row>
    <row r="5" spans="1:22" ht="19" x14ac:dyDescent="0.25">
      <c r="A5" s="5" t="s">
        <v>2</v>
      </c>
      <c r="B5" s="1">
        <v>43366000</v>
      </c>
      <c r="C5" s="1">
        <v>61252000</v>
      </c>
      <c r="D5" s="1">
        <v>122686000</v>
      </c>
      <c r="E5" s="1">
        <v>192015000</v>
      </c>
      <c r="F5" s="1">
        <v>294031000</v>
      </c>
      <c r="G5" s="1">
        <v>406051000</v>
      </c>
      <c r="H5" s="1">
        <v>584417000</v>
      </c>
      <c r="I5" s="1">
        <v>777992000</v>
      </c>
      <c r="J5" s="1">
        <v>866368000</v>
      </c>
      <c r="K5" s="1">
        <v>835626000</v>
      </c>
      <c r="L5" s="1">
        <v>1067258000</v>
      </c>
      <c r="M5" s="1">
        <v>1705614000</v>
      </c>
    </row>
    <row r="6" spans="1:22" ht="20" x14ac:dyDescent="0.25">
      <c r="A6" s="6" t="s">
        <v>3</v>
      </c>
      <c r="B6" s="10">
        <v>96482000</v>
      </c>
      <c r="C6" s="10">
        <v>132156000</v>
      </c>
      <c r="D6" s="10">
        <v>238538000</v>
      </c>
      <c r="E6" s="10">
        <v>392091000</v>
      </c>
      <c r="F6" s="10">
        <v>543560000</v>
      </c>
      <c r="G6" s="10">
        <v>723116000</v>
      </c>
      <c r="H6" s="10">
        <v>1061769000</v>
      </c>
      <c r="I6" s="10">
        <v>1373377000</v>
      </c>
      <c r="J6" s="10">
        <v>1544338000</v>
      </c>
      <c r="K6" s="10">
        <v>1481886000</v>
      </c>
      <c r="L6" s="10">
        <v>1880779000</v>
      </c>
      <c r="M6" s="10">
        <v>2675696000</v>
      </c>
      <c r="S6" s="18" t="s">
        <v>114</v>
      </c>
      <c r="T6" s="19" t="s">
        <v>115</v>
      </c>
      <c r="U6" s="19" t="s">
        <v>116</v>
      </c>
      <c r="V6" s="19" t="s">
        <v>117</v>
      </c>
    </row>
    <row r="7" spans="1:22" ht="19" x14ac:dyDescent="0.25">
      <c r="A7" s="5" t="s">
        <v>4</v>
      </c>
      <c r="B7" s="2">
        <v>0.68989999999999996</v>
      </c>
      <c r="C7" s="2">
        <v>0.68330000000000002</v>
      </c>
      <c r="D7" s="2">
        <v>0.66039999999999999</v>
      </c>
      <c r="E7" s="2">
        <v>0.67130000000000001</v>
      </c>
      <c r="F7" s="2">
        <v>0.64900000000000002</v>
      </c>
      <c r="G7" s="2">
        <v>0.64039999999999997</v>
      </c>
      <c r="H7" s="2">
        <v>0.64500000000000002</v>
      </c>
      <c r="I7" s="2">
        <v>0.63839999999999997</v>
      </c>
      <c r="J7" s="2">
        <v>0.64059999999999995</v>
      </c>
      <c r="K7" s="2">
        <v>0.63939999999999997</v>
      </c>
      <c r="L7" s="2">
        <v>0.63800000000000001</v>
      </c>
      <c r="M7" s="2">
        <v>0.61070000000000002</v>
      </c>
      <c r="S7" s="17">
        <f>M7</f>
        <v>0.61070000000000002</v>
      </c>
      <c r="T7" s="20">
        <f>M21</f>
        <v>0.37830000000000003</v>
      </c>
      <c r="U7" s="20">
        <f>M30</f>
        <v>0.30869999999999997</v>
      </c>
      <c r="V7" s="20">
        <f>M106/M3</f>
        <v>0.10229109558556687</v>
      </c>
    </row>
    <row r="8" spans="1:22" ht="19" x14ac:dyDescent="0.25">
      <c r="A8" s="5" t="s">
        <v>5</v>
      </c>
      <c r="B8" s="1">
        <v>26408000</v>
      </c>
      <c r="C8" s="1">
        <v>55155000</v>
      </c>
      <c r="D8" s="1">
        <v>98587000</v>
      </c>
      <c r="E8" s="1">
        <v>148909000</v>
      </c>
      <c r="F8" s="1">
        <v>209448000</v>
      </c>
      <c r="G8" s="1">
        <v>273581000</v>
      </c>
      <c r="H8" s="1">
        <v>349594000</v>
      </c>
      <c r="I8" s="1">
        <v>442468000</v>
      </c>
      <c r="J8" s="1">
        <v>462759000</v>
      </c>
      <c r="K8" s="1">
        <v>486594000</v>
      </c>
      <c r="L8" s="1">
        <v>586752000</v>
      </c>
      <c r="M8" s="1">
        <v>728394000</v>
      </c>
    </row>
    <row r="9" spans="1:22" ht="19" customHeight="1" x14ac:dyDescent="0.25">
      <c r="A9" s="14" t="s">
        <v>96</v>
      </c>
      <c r="B9" s="15">
        <f>B8/B3</f>
        <v>0.1888335907556776</v>
      </c>
      <c r="C9" s="15">
        <f t="shared" ref="C9:W9" si="1">C8/C3</f>
        <v>0.28517434645929846</v>
      </c>
      <c r="D9" s="15">
        <f t="shared" si="1"/>
        <v>0.27292483334440681</v>
      </c>
      <c r="E9" s="15">
        <f t="shared" si="1"/>
        <v>0.2549348919545425</v>
      </c>
      <c r="F9" s="15">
        <f t="shared" si="1"/>
        <v>0.25005999348130531</v>
      </c>
      <c r="G9" s="15">
        <f t="shared" si="1"/>
        <v>0.24228568493411515</v>
      </c>
      <c r="H9" s="15">
        <f t="shared" si="1"/>
        <v>0.21236603883157795</v>
      </c>
      <c r="I9" s="15">
        <f t="shared" si="1"/>
        <v>0.20566811179300251</v>
      </c>
      <c r="J9" s="15">
        <f t="shared" si="1"/>
        <v>0.19195994866234206</v>
      </c>
      <c r="K9" s="15">
        <f t="shared" si="1"/>
        <v>0.20996396135165643</v>
      </c>
      <c r="L9" s="15">
        <f t="shared" si="1"/>
        <v>0.19903142328267928</v>
      </c>
      <c r="M9" s="15">
        <f t="shared" si="1"/>
        <v>0.16625027674371365</v>
      </c>
      <c r="S9" s="18" t="s">
        <v>97</v>
      </c>
      <c r="T9" s="19" t="s">
        <v>98</v>
      </c>
      <c r="U9" s="19" t="s">
        <v>99</v>
      </c>
      <c r="V9" s="19" t="s">
        <v>100</v>
      </c>
    </row>
    <row r="10" spans="1:22" ht="19" x14ac:dyDescent="0.25">
      <c r="A10" s="5" t="s">
        <v>6</v>
      </c>
      <c r="B10" s="1">
        <v>6224000</v>
      </c>
      <c r="C10" s="1">
        <v>8501000</v>
      </c>
      <c r="D10" s="1">
        <v>18688000</v>
      </c>
      <c r="E10" s="1">
        <v>32331000</v>
      </c>
      <c r="F10" s="1">
        <v>75720000</v>
      </c>
      <c r="G10" s="1">
        <v>75239000</v>
      </c>
      <c r="H10" s="1">
        <v>86798000</v>
      </c>
      <c r="I10" s="1">
        <v>65420000</v>
      </c>
      <c r="J10" s="1">
        <v>61898000</v>
      </c>
      <c r="K10" s="1">
        <v>66242000</v>
      </c>
      <c r="L10" s="1">
        <v>83117000</v>
      </c>
      <c r="M10" s="1">
        <v>93241000</v>
      </c>
      <c r="S10" s="17">
        <f>M9</f>
        <v>0.16625027674371365</v>
      </c>
      <c r="T10" s="20">
        <f>M13</f>
        <v>9.5906475460535781E-2</v>
      </c>
      <c r="U10" s="20">
        <f>M80</f>
        <v>5.2708893002321226E-2</v>
      </c>
      <c r="V10" s="20">
        <f>M89</f>
        <v>1.0189646475597482E-2</v>
      </c>
    </row>
    <row r="11" spans="1:22" ht="19" x14ac:dyDescent="0.25">
      <c r="A11" s="5" t="s">
        <v>7</v>
      </c>
      <c r="B11" s="1">
        <v>19450000</v>
      </c>
      <c r="C11" s="1">
        <v>28603000</v>
      </c>
      <c r="D11" s="1">
        <v>55115000</v>
      </c>
      <c r="E11" s="1">
        <v>85338000</v>
      </c>
      <c r="F11" s="1">
        <v>109084000</v>
      </c>
      <c r="G11" s="1">
        <v>130887000</v>
      </c>
      <c r="H11" s="1">
        <v>155105000</v>
      </c>
      <c r="I11" s="1">
        <v>187142000</v>
      </c>
      <c r="J11" s="1">
        <v>213907000</v>
      </c>
      <c r="K11" s="1">
        <v>229366000</v>
      </c>
      <c r="L11" s="1">
        <v>286171000</v>
      </c>
      <c r="M11" s="1">
        <v>326955000</v>
      </c>
    </row>
    <row r="12" spans="1:22" ht="20" x14ac:dyDescent="0.25">
      <c r="A12" s="5" t="s">
        <v>8</v>
      </c>
      <c r="B12" s="1">
        <v>25674000</v>
      </c>
      <c r="C12" s="1">
        <v>37104000</v>
      </c>
      <c r="D12" s="1">
        <v>73803000</v>
      </c>
      <c r="E12" s="1">
        <v>117669000</v>
      </c>
      <c r="F12" s="1">
        <v>184804000</v>
      </c>
      <c r="G12" s="1">
        <v>206126000</v>
      </c>
      <c r="H12" s="1">
        <v>241903000</v>
      </c>
      <c r="I12" s="1">
        <v>252562000</v>
      </c>
      <c r="J12" s="1">
        <v>275805000</v>
      </c>
      <c r="K12" s="1">
        <v>295608000</v>
      </c>
      <c r="L12" s="1">
        <v>369288000</v>
      </c>
      <c r="M12" s="1">
        <v>420196000</v>
      </c>
      <c r="S12" s="18" t="s">
        <v>118</v>
      </c>
      <c r="T12" s="19" t="s">
        <v>119</v>
      </c>
      <c r="U12" s="19" t="s">
        <v>120</v>
      </c>
      <c r="V12" s="19" t="s">
        <v>121</v>
      </c>
    </row>
    <row r="13" spans="1:22" ht="19" x14ac:dyDescent="0.25">
      <c r="A13" s="14" t="s">
        <v>101</v>
      </c>
      <c r="B13" s="15">
        <f>B12/B3</f>
        <v>0.18358503518105371</v>
      </c>
      <c r="C13" s="15">
        <f t="shared" ref="C13:W13" si="2">C12/C3</f>
        <v>0.19184315023163467</v>
      </c>
      <c r="D13" s="15">
        <f t="shared" si="2"/>
        <v>0.20431366686598898</v>
      </c>
      <c r="E13" s="15">
        <f t="shared" si="2"/>
        <v>0.20145144888085381</v>
      </c>
      <c r="F13" s="15">
        <f t="shared" si="2"/>
        <v>0.22063751878900323</v>
      </c>
      <c r="G13" s="15">
        <f t="shared" si="2"/>
        <v>0.18254695718171005</v>
      </c>
      <c r="H13" s="15">
        <f t="shared" si="2"/>
        <v>0.14694755027682169</v>
      </c>
      <c r="I13" s="15">
        <f t="shared" si="2"/>
        <v>0.11739594648802693</v>
      </c>
      <c r="J13" s="15">
        <f t="shared" si="2"/>
        <v>0.11440839322588486</v>
      </c>
      <c r="K13" s="15">
        <f t="shared" si="2"/>
        <v>0.12755403208268176</v>
      </c>
      <c r="L13" s="15">
        <f t="shared" si="2"/>
        <v>0.12526572766895394</v>
      </c>
      <c r="M13" s="15">
        <f t="shared" si="2"/>
        <v>9.5906475460535781E-2</v>
      </c>
      <c r="S13" s="17">
        <f>M28/M72</f>
        <v>0.27681044328280618</v>
      </c>
      <c r="T13" s="20">
        <f>M28/M54</f>
        <v>0.19961094605344917</v>
      </c>
      <c r="U13" s="20">
        <f>M22/(M72+M56+M61)</f>
        <v>0.30977138146417776</v>
      </c>
      <c r="V13" s="21">
        <f>M67/M72</f>
        <v>0.38674981886356846</v>
      </c>
    </row>
    <row r="14" spans="1:22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</row>
    <row r="15" spans="1:22" ht="20" x14ac:dyDescent="0.25">
      <c r="A15" s="5" t="s">
        <v>10</v>
      </c>
      <c r="B15" s="1">
        <v>52082000</v>
      </c>
      <c r="C15" s="1">
        <v>92259000</v>
      </c>
      <c r="D15" s="1">
        <v>172390000</v>
      </c>
      <c r="E15" s="1">
        <v>266578000</v>
      </c>
      <c r="F15" s="1">
        <v>394252000</v>
      </c>
      <c r="G15" s="1">
        <v>479707000</v>
      </c>
      <c r="H15" s="1">
        <v>591497000</v>
      </c>
      <c r="I15" s="1">
        <v>695030000</v>
      </c>
      <c r="J15" s="1">
        <v>738564000</v>
      </c>
      <c r="K15" s="1">
        <v>782202000</v>
      </c>
      <c r="L15" s="1">
        <v>956040000</v>
      </c>
      <c r="M15" s="1">
        <v>1148590000</v>
      </c>
      <c r="S15" s="18" t="s">
        <v>122</v>
      </c>
      <c r="T15" s="19" t="s">
        <v>123</v>
      </c>
      <c r="U15" s="19" t="s">
        <v>124</v>
      </c>
      <c r="V15" s="19" t="s">
        <v>125</v>
      </c>
    </row>
    <row r="16" spans="1:22" ht="19" x14ac:dyDescent="0.25">
      <c r="A16" s="5" t="s">
        <v>11</v>
      </c>
      <c r="B16" s="1">
        <v>95448000</v>
      </c>
      <c r="C16" s="1">
        <v>153511000</v>
      </c>
      <c r="D16" s="1">
        <v>295076000</v>
      </c>
      <c r="E16" s="1">
        <v>458593000</v>
      </c>
      <c r="F16" s="1">
        <v>688283000</v>
      </c>
      <c r="G16" s="1">
        <v>885758000</v>
      </c>
      <c r="H16" s="1">
        <v>1175914000</v>
      </c>
      <c r="I16" s="1">
        <v>1473022000</v>
      </c>
      <c r="J16" s="1">
        <v>1604932000</v>
      </c>
      <c r="K16" s="1">
        <v>1617828000</v>
      </c>
      <c r="L16" s="1">
        <v>2023298000</v>
      </c>
      <c r="M16" s="1">
        <v>2854204000</v>
      </c>
      <c r="S16" s="29">
        <f>(M35+L35+K35+J35+I35)/5</f>
        <v>4.3644380616636029E-4</v>
      </c>
      <c r="T16" s="30">
        <f>U101/M3</f>
        <v>11.792157217818415</v>
      </c>
      <c r="U16" s="30">
        <f>U101/M28</f>
        <v>38.20122676986734</v>
      </c>
      <c r="V16" s="31">
        <f>U101/M106</f>
        <v>115.28038829102414</v>
      </c>
    </row>
    <row r="17" spans="1:19" ht="19" x14ac:dyDescent="0.25">
      <c r="A17" s="5" t="s">
        <v>12</v>
      </c>
      <c r="B17" s="1">
        <v>6417000</v>
      </c>
      <c r="C17" s="1">
        <v>7057000</v>
      </c>
      <c r="D17" s="1">
        <v>7119000</v>
      </c>
      <c r="E17" s="1">
        <v>6280000</v>
      </c>
      <c r="F17" s="1">
        <v>3152000</v>
      </c>
      <c r="G17" s="1">
        <v>3136000</v>
      </c>
      <c r="H17" s="1">
        <v>2780000</v>
      </c>
      <c r="I17" s="1">
        <v>2701000</v>
      </c>
      <c r="J17" s="1">
        <v>51144000</v>
      </c>
      <c r="K17" s="1">
        <v>27139000</v>
      </c>
      <c r="L17" s="1">
        <v>7215000</v>
      </c>
      <c r="M17" s="1">
        <v>0</v>
      </c>
    </row>
    <row r="18" spans="1:19" ht="20" x14ac:dyDescent="0.25">
      <c r="A18" s="5" t="s">
        <v>13</v>
      </c>
      <c r="B18" s="1">
        <v>1293000</v>
      </c>
      <c r="C18" s="1">
        <v>1779000</v>
      </c>
      <c r="D18" s="1">
        <v>5044000</v>
      </c>
      <c r="E18" s="1">
        <v>10021000</v>
      </c>
      <c r="F18" s="1">
        <v>13671000</v>
      </c>
      <c r="G18" s="1">
        <v>19749000</v>
      </c>
      <c r="H18" s="1">
        <v>20640000</v>
      </c>
      <c r="I18" s="1">
        <v>27671000</v>
      </c>
      <c r="J18" s="1">
        <v>32849000</v>
      </c>
      <c r="K18" s="1">
        <v>44590000</v>
      </c>
      <c r="L18" s="1">
        <v>50334000</v>
      </c>
      <c r="M18" s="1">
        <v>75467000</v>
      </c>
      <c r="S18" s="18" t="s">
        <v>126</v>
      </c>
    </row>
    <row r="19" spans="1:19" ht="19" x14ac:dyDescent="0.25">
      <c r="A19" s="6" t="s">
        <v>14</v>
      </c>
      <c r="B19" s="10">
        <v>45336000</v>
      </c>
      <c r="C19" s="10">
        <v>41811000</v>
      </c>
      <c r="D19" s="10">
        <v>70438000</v>
      </c>
      <c r="E19" s="10">
        <v>137809000</v>
      </c>
      <c r="F19" s="10">
        <v>162832000</v>
      </c>
      <c r="G19" s="10">
        <v>265110000</v>
      </c>
      <c r="H19" s="10">
        <v>498180000</v>
      </c>
      <c r="I19" s="10">
        <v>319173000</v>
      </c>
      <c r="J19" s="10">
        <v>946263000</v>
      </c>
      <c r="K19" s="10">
        <v>810592000</v>
      </c>
      <c r="L19" s="10">
        <v>988428000</v>
      </c>
      <c r="M19" s="10">
        <v>1657263000</v>
      </c>
      <c r="S19" s="32">
        <f>M40-M56-M61</f>
        <v>2979765000</v>
      </c>
    </row>
    <row r="20" spans="1:19" ht="19" customHeight="1" x14ac:dyDescent="0.25">
      <c r="A20" s="14" t="s">
        <v>102</v>
      </c>
      <c r="B20" s="1"/>
      <c r="C20" s="15">
        <f>(C19/B19)-1</f>
        <v>-7.7752779248279502E-2</v>
      </c>
      <c r="D20" s="15">
        <f>(D19/C19)-1</f>
        <v>0.68467628136136427</v>
      </c>
      <c r="E20" s="15">
        <f>(E19/D19)-1</f>
        <v>0.95645816178767151</v>
      </c>
      <c r="F20" s="15">
        <f t="shared" ref="F20:Q20" si="3">(F19/E19)-1</f>
        <v>0.18157740060518535</v>
      </c>
      <c r="G20" s="15">
        <f t="shared" si="3"/>
        <v>0.62811977989584356</v>
      </c>
      <c r="H20" s="15">
        <f t="shared" si="3"/>
        <v>0.87914450605409078</v>
      </c>
      <c r="I20" s="15">
        <f t="shared" si="3"/>
        <v>-0.359321931831868</v>
      </c>
      <c r="J20" s="15">
        <f t="shared" si="3"/>
        <v>1.9647338590670262</v>
      </c>
      <c r="K20" s="15">
        <f t="shared" si="3"/>
        <v>-0.14337557317574501</v>
      </c>
      <c r="L20" s="15">
        <f t="shared" si="3"/>
        <v>0.21939027278828305</v>
      </c>
      <c r="M20" s="15">
        <f t="shared" si="3"/>
        <v>0.67666537168109353</v>
      </c>
    </row>
    <row r="21" spans="1:19" ht="19" x14ac:dyDescent="0.25">
      <c r="A21" s="5" t="s">
        <v>15</v>
      </c>
      <c r="B21" s="2">
        <v>0.32419999999999999</v>
      </c>
      <c r="C21" s="2">
        <v>0.2162</v>
      </c>
      <c r="D21" s="2">
        <v>0.19500000000000001</v>
      </c>
      <c r="E21" s="2">
        <v>0.2359</v>
      </c>
      <c r="F21" s="2">
        <v>0.19439999999999999</v>
      </c>
      <c r="G21" s="2">
        <v>0.23480000000000001</v>
      </c>
      <c r="H21" s="2">
        <v>0.30259999999999998</v>
      </c>
      <c r="I21" s="2">
        <v>0.1484</v>
      </c>
      <c r="J21" s="2">
        <v>0.39250000000000002</v>
      </c>
      <c r="K21" s="2">
        <v>0.3498</v>
      </c>
      <c r="L21" s="2">
        <v>0.33529999999999999</v>
      </c>
      <c r="M21" s="2">
        <v>0.37830000000000003</v>
      </c>
    </row>
    <row r="22" spans="1:19" ht="19" x14ac:dyDescent="0.25">
      <c r="A22" s="6" t="s">
        <v>16</v>
      </c>
      <c r="B22" s="10">
        <v>44400000</v>
      </c>
      <c r="C22" s="10">
        <v>39897000</v>
      </c>
      <c r="D22" s="10">
        <v>66148000</v>
      </c>
      <c r="E22" s="10">
        <v>125513000</v>
      </c>
      <c r="F22" s="10">
        <v>149308000</v>
      </c>
      <c r="G22" s="10">
        <v>243409000</v>
      </c>
      <c r="H22" s="10">
        <v>470272000</v>
      </c>
      <c r="I22" s="10">
        <v>273347000</v>
      </c>
      <c r="J22" s="10">
        <v>805774000</v>
      </c>
      <c r="K22" s="10">
        <v>699684000</v>
      </c>
      <c r="L22" s="10">
        <v>924739000</v>
      </c>
      <c r="M22" s="10">
        <v>1527106000</v>
      </c>
    </row>
    <row r="23" spans="1:19" ht="19" x14ac:dyDescent="0.25">
      <c r="A23" s="5" t="s">
        <v>17</v>
      </c>
      <c r="B23" s="2">
        <v>0.3175</v>
      </c>
      <c r="C23" s="2">
        <v>0.20630000000000001</v>
      </c>
      <c r="D23" s="2">
        <v>0.18310000000000001</v>
      </c>
      <c r="E23" s="2">
        <v>0.21490000000000001</v>
      </c>
      <c r="F23" s="2">
        <v>0.17829999999999999</v>
      </c>
      <c r="G23" s="2">
        <v>0.21560000000000001</v>
      </c>
      <c r="H23" s="2">
        <v>0.28570000000000001</v>
      </c>
      <c r="I23" s="2">
        <v>0.12709999999999999</v>
      </c>
      <c r="J23" s="2">
        <v>0.3342</v>
      </c>
      <c r="K23" s="2">
        <v>0.3019</v>
      </c>
      <c r="L23" s="2">
        <v>0.31369999999999998</v>
      </c>
      <c r="M23" s="2">
        <v>0.34860000000000002</v>
      </c>
    </row>
    <row r="24" spans="1:19" ht="19" x14ac:dyDescent="0.25">
      <c r="A24" s="5" t="s">
        <v>18</v>
      </c>
      <c r="B24" s="1">
        <v>-6774000</v>
      </c>
      <c r="C24" s="1">
        <v>-6922000</v>
      </c>
      <c r="D24" s="1">
        <v>-7873000</v>
      </c>
      <c r="E24" s="1">
        <v>-4005000</v>
      </c>
      <c r="F24" s="1">
        <v>-3299000</v>
      </c>
      <c r="G24" s="1">
        <v>-1184000</v>
      </c>
      <c r="H24" s="1">
        <v>4488000</v>
      </c>
      <c r="I24" s="1">
        <v>15454000</v>
      </c>
      <c r="J24" s="1">
        <v>56496000</v>
      </c>
      <c r="K24" s="1">
        <v>39179000</v>
      </c>
      <c r="L24" s="1">
        <v>6140000</v>
      </c>
      <c r="M24" s="1">
        <v>54690000</v>
      </c>
    </row>
    <row r="25" spans="1:19" ht="19" x14ac:dyDescent="0.25">
      <c r="A25" s="6" t="s">
        <v>19</v>
      </c>
      <c r="B25" s="10">
        <v>37626000</v>
      </c>
      <c r="C25" s="10">
        <v>32975000</v>
      </c>
      <c r="D25" s="10">
        <v>58275000</v>
      </c>
      <c r="E25" s="10">
        <v>121508000</v>
      </c>
      <c r="F25" s="10">
        <v>146009000</v>
      </c>
      <c r="G25" s="10">
        <v>242225000</v>
      </c>
      <c r="H25" s="10">
        <v>474760000</v>
      </c>
      <c r="I25" s="10">
        <v>288801000</v>
      </c>
      <c r="J25" s="10">
        <v>862270000</v>
      </c>
      <c r="K25" s="10">
        <v>738863000</v>
      </c>
      <c r="L25" s="10">
        <v>930879000</v>
      </c>
      <c r="M25" s="10">
        <v>1581796000</v>
      </c>
    </row>
    <row r="26" spans="1:19" ht="19" x14ac:dyDescent="0.25">
      <c r="A26" s="5" t="s">
        <v>20</v>
      </c>
      <c r="B26" s="2">
        <v>0.26900000000000002</v>
      </c>
      <c r="C26" s="2">
        <v>0.17050000000000001</v>
      </c>
      <c r="D26" s="2">
        <v>0.1613</v>
      </c>
      <c r="E26" s="2">
        <v>0.20799999999999999</v>
      </c>
      <c r="F26" s="2">
        <v>0.17430000000000001</v>
      </c>
      <c r="G26" s="2">
        <v>0.2145</v>
      </c>
      <c r="H26" s="2">
        <v>0.28839999999999999</v>
      </c>
      <c r="I26" s="2">
        <v>0.13420000000000001</v>
      </c>
      <c r="J26" s="2">
        <v>0.35770000000000002</v>
      </c>
      <c r="K26" s="2">
        <v>0.31879999999999997</v>
      </c>
      <c r="L26" s="2">
        <v>0.31580000000000003</v>
      </c>
      <c r="M26" s="2">
        <v>0.36099999999999999</v>
      </c>
    </row>
    <row r="27" spans="1:19" ht="19" x14ac:dyDescent="0.25">
      <c r="A27" s="5" t="s">
        <v>21</v>
      </c>
      <c r="B27" s="1">
        <v>3591000</v>
      </c>
      <c r="C27" s="1">
        <v>11626000</v>
      </c>
      <c r="D27" s="1">
        <v>15815000</v>
      </c>
      <c r="E27" s="1">
        <v>34658000</v>
      </c>
      <c r="F27" s="1">
        <v>24907000</v>
      </c>
      <c r="G27" s="1">
        <v>58036000</v>
      </c>
      <c r="H27" s="1">
        <v>51559000</v>
      </c>
      <c r="I27" s="1">
        <v>-39314000</v>
      </c>
      <c r="J27" s="1">
        <v>2403000</v>
      </c>
      <c r="K27" s="1">
        <v>104306000</v>
      </c>
      <c r="L27" s="1">
        <v>90025000</v>
      </c>
      <c r="M27" s="1">
        <v>229350000</v>
      </c>
    </row>
    <row r="28" spans="1:19" ht="19" x14ac:dyDescent="0.25">
      <c r="A28" s="7" t="s">
        <v>22</v>
      </c>
      <c r="B28" s="11">
        <v>34035000</v>
      </c>
      <c r="C28" s="11">
        <v>21349000</v>
      </c>
      <c r="D28" s="11">
        <v>42460000</v>
      </c>
      <c r="E28" s="11">
        <v>86850000</v>
      </c>
      <c r="F28" s="11">
        <v>121102000</v>
      </c>
      <c r="G28" s="11">
        <v>184189000</v>
      </c>
      <c r="H28" s="11">
        <v>423201000</v>
      </c>
      <c r="I28" s="11">
        <v>328115000</v>
      </c>
      <c r="J28" s="11">
        <v>859867000</v>
      </c>
      <c r="K28" s="11">
        <v>634557000</v>
      </c>
      <c r="L28" s="11">
        <v>840854000</v>
      </c>
      <c r="M28" s="11">
        <v>1352446000</v>
      </c>
    </row>
    <row r="29" spans="1:19" ht="20" customHeight="1" x14ac:dyDescent="0.25">
      <c r="A29" s="14" t="s">
        <v>103</v>
      </c>
      <c r="B29" s="1"/>
      <c r="C29" s="15">
        <f>(C28/B28)-1</f>
        <v>-0.37273395034523282</v>
      </c>
      <c r="D29" s="15">
        <f>(D28/C28)-1</f>
        <v>0.9888519368588693</v>
      </c>
      <c r="E29" s="15">
        <f>(E28/D28)-1</f>
        <v>1.0454545454545454</v>
      </c>
      <c r="F29" s="15">
        <f t="shared" ref="F29:Q29" si="4">(F28/E28)-1</f>
        <v>0.39438111686816346</v>
      </c>
      <c r="G29" s="15">
        <f t="shared" si="4"/>
        <v>0.52094102492114081</v>
      </c>
      <c r="H29" s="15">
        <f t="shared" si="4"/>
        <v>1.2976453534141563</v>
      </c>
      <c r="I29" s="15">
        <f t="shared" si="4"/>
        <v>-0.22468283392525068</v>
      </c>
      <c r="J29" s="15">
        <f t="shared" si="4"/>
        <v>1.6206269143440561</v>
      </c>
      <c r="K29" s="15">
        <f t="shared" si="4"/>
        <v>-0.26202889516634553</v>
      </c>
      <c r="L29" s="15">
        <f t="shared" si="4"/>
        <v>0.32510397017131631</v>
      </c>
      <c r="M29" s="15">
        <f t="shared" si="4"/>
        <v>0.60841953537712845</v>
      </c>
    </row>
    <row r="30" spans="1:19" ht="19" x14ac:dyDescent="0.25">
      <c r="A30" s="5" t="s">
        <v>23</v>
      </c>
      <c r="B30" s="2">
        <v>0.24340000000000001</v>
      </c>
      <c r="C30" s="2">
        <v>0.1104</v>
      </c>
      <c r="D30" s="2">
        <v>0.11749999999999999</v>
      </c>
      <c r="E30" s="2">
        <v>0.1487</v>
      </c>
      <c r="F30" s="2">
        <v>0.14460000000000001</v>
      </c>
      <c r="G30" s="2">
        <v>0.16309999999999999</v>
      </c>
      <c r="H30" s="2">
        <v>0.2571</v>
      </c>
      <c r="I30" s="2">
        <v>0.1525</v>
      </c>
      <c r="J30" s="2">
        <v>0.35670000000000002</v>
      </c>
      <c r="K30" s="2">
        <v>0.27379999999999999</v>
      </c>
      <c r="L30" s="2">
        <v>0.28520000000000001</v>
      </c>
      <c r="M30" s="2">
        <v>0.30869999999999997</v>
      </c>
    </row>
    <row r="31" spans="1:19" ht="19" x14ac:dyDescent="0.25">
      <c r="A31" s="5" t="s">
        <v>24</v>
      </c>
      <c r="B31" s="12">
        <v>0.17</v>
      </c>
      <c r="C31" s="12">
        <v>0.03</v>
      </c>
      <c r="D31" s="12">
        <v>0.19</v>
      </c>
      <c r="E31" s="12">
        <v>0.35</v>
      </c>
      <c r="F31" s="12">
        <v>0.45</v>
      </c>
      <c r="G31" s="12">
        <v>0.67</v>
      </c>
      <c r="H31" s="12">
        <v>1.46</v>
      </c>
      <c r="I31" s="12">
        <v>1.1000000000000001</v>
      </c>
      <c r="J31" s="12">
        <v>2.81</v>
      </c>
      <c r="K31" s="12">
        <v>2.09</v>
      </c>
      <c r="L31" s="12">
        <v>2.77</v>
      </c>
      <c r="M31" s="12">
        <v>4.41</v>
      </c>
    </row>
    <row r="32" spans="1:19" ht="19" x14ac:dyDescent="0.25">
      <c r="A32" s="5" t="s">
        <v>25</v>
      </c>
      <c r="B32" s="12">
        <v>0.16</v>
      </c>
      <c r="C32" s="12">
        <v>0.03</v>
      </c>
      <c r="D32" s="12">
        <v>0.18</v>
      </c>
      <c r="E32" s="12">
        <v>0.32</v>
      </c>
      <c r="F32" s="12">
        <v>0.42</v>
      </c>
      <c r="G32" s="12">
        <v>0.63</v>
      </c>
      <c r="H32" s="12">
        <v>1.34</v>
      </c>
      <c r="I32" s="12">
        <v>1.01</v>
      </c>
      <c r="J32" s="12">
        <v>2.66</v>
      </c>
      <c r="K32" s="12">
        <v>2</v>
      </c>
      <c r="L32" s="12">
        <v>2.65</v>
      </c>
      <c r="M32" s="12">
        <v>4.2699999999999996</v>
      </c>
    </row>
    <row r="33" spans="1:13" ht="19" x14ac:dyDescent="0.25">
      <c r="A33" s="5" t="s">
        <v>26</v>
      </c>
      <c r="B33" s="1">
        <v>205281176</v>
      </c>
      <c r="C33" s="1">
        <v>305248000</v>
      </c>
      <c r="D33" s="1">
        <v>205281176</v>
      </c>
      <c r="E33" s="1">
        <v>193708000</v>
      </c>
      <c r="F33" s="1">
        <v>263856000</v>
      </c>
      <c r="G33" s="1">
        <v>275084000</v>
      </c>
      <c r="H33" s="1">
        <v>289032000</v>
      </c>
      <c r="I33" s="1">
        <v>299000000</v>
      </c>
      <c r="J33" s="1">
        <v>305248000</v>
      </c>
      <c r="K33" s="1">
        <v>303936000</v>
      </c>
      <c r="L33" s="1">
        <v>303936000</v>
      </c>
      <c r="M33" s="1">
        <v>306473000</v>
      </c>
    </row>
    <row r="34" spans="1:13" ht="19" x14ac:dyDescent="0.25">
      <c r="A34" s="5" t="s">
        <v>27</v>
      </c>
      <c r="B34" s="1">
        <v>216205160</v>
      </c>
      <c r="C34" s="1">
        <v>323516000</v>
      </c>
      <c r="D34" s="1">
        <v>216205160</v>
      </c>
      <c r="E34" s="1">
        <v>218360000</v>
      </c>
      <c r="F34" s="1">
        <v>285644000</v>
      </c>
      <c r="G34" s="1">
        <v>292888000</v>
      </c>
      <c r="H34" s="1">
        <v>315908000</v>
      </c>
      <c r="I34" s="1">
        <v>323376000</v>
      </c>
      <c r="J34" s="1">
        <v>323516000</v>
      </c>
      <c r="K34" s="1">
        <v>317860000</v>
      </c>
      <c r="L34" s="1">
        <v>317860000</v>
      </c>
      <c r="M34" s="1">
        <v>316459000</v>
      </c>
    </row>
    <row r="35" spans="1:13" ht="20" customHeight="1" x14ac:dyDescent="0.25">
      <c r="A35" s="14" t="s">
        <v>104</v>
      </c>
      <c r="B35" s="1"/>
      <c r="C35" s="22">
        <f>(C34-B34)/B34</f>
        <v>0.49633801524440951</v>
      </c>
      <c r="D35" s="22">
        <f t="shared" ref="D35:Q35" si="5">(D34-C34)/C34</f>
        <v>-0.33170180145649675</v>
      </c>
      <c r="E35" s="22">
        <f t="shared" si="5"/>
        <v>9.9666446443738895E-3</v>
      </c>
      <c r="F35" s="22">
        <f t="shared" si="5"/>
        <v>0.30813335775783113</v>
      </c>
      <c r="G35" s="22">
        <f t="shared" si="5"/>
        <v>2.5360238618700199E-2</v>
      </c>
      <c r="H35" s="22">
        <f t="shared" si="5"/>
        <v>7.8596596651279674E-2</v>
      </c>
      <c r="I35" s="22">
        <f t="shared" si="5"/>
        <v>2.3639793864036366E-2</v>
      </c>
      <c r="J35" s="22">
        <f t="shared" si="5"/>
        <v>4.3293256147642375E-4</v>
      </c>
      <c r="K35" s="22">
        <f t="shared" si="5"/>
        <v>-1.7482906564126658E-2</v>
      </c>
      <c r="L35" s="22">
        <f t="shared" si="5"/>
        <v>0</v>
      </c>
      <c r="M35" s="22">
        <f t="shared" si="5"/>
        <v>-4.4076008305543321E-3</v>
      </c>
    </row>
    <row r="36" spans="1:13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</row>
    <row r="37" spans="1:13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</row>
    <row r="38" spans="1:13" ht="19" x14ac:dyDescent="0.25">
      <c r="A38" s="5" t="s">
        <v>30</v>
      </c>
      <c r="B38" s="1" t="s">
        <v>92</v>
      </c>
      <c r="C38" s="1">
        <v>88655000</v>
      </c>
      <c r="D38" s="1">
        <v>113664000</v>
      </c>
      <c r="E38" s="1">
        <v>240031000</v>
      </c>
      <c r="F38" s="1">
        <v>687326000</v>
      </c>
      <c r="G38" s="1">
        <v>567923000</v>
      </c>
      <c r="H38" s="1">
        <v>859192000</v>
      </c>
      <c r="I38" s="1">
        <v>649950000</v>
      </c>
      <c r="J38" s="1">
        <v>1111286000</v>
      </c>
      <c r="K38" s="1">
        <v>893219000</v>
      </c>
      <c r="L38" s="1">
        <v>620813000</v>
      </c>
      <c r="M38" s="1">
        <v>671707000</v>
      </c>
    </row>
    <row r="39" spans="1:13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>
        <v>209426000</v>
      </c>
      <c r="F39" s="1" t="s">
        <v>92</v>
      </c>
      <c r="G39" s="1">
        <v>299910000</v>
      </c>
      <c r="H39" s="1">
        <v>676363000</v>
      </c>
      <c r="I39" s="1">
        <v>1306197000</v>
      </c>
      <c r="J39" s="1">
        <v>1613082000</v>
      </c>
      <c r="K39" s="1">
        <v>1979649000</v>
      </c>
      <c r="L39" s="1">
        <v>2787502000</v>
      </c>
      <c r="M39" s="1">
        <v>2352022000</v>
      </c>
    </row>
    <row r="40" spans="1:13" ht="19" x14ac:dyDescent="0.25">
      <c r="A40" s="5" t="s">
        <v>32</v>
      </c>
      <c r="B40" s="1" t="s">
        <v>92</v>
      </c>
      <c r="C40" s="1">
        <v>88655000</v>
      </c>
      <c r="D40" s="1">
        <v>113664000</v>
      </c>
      <c r="E40" s="1">
        <v>449457000</v>
      </c>
      <c r="F40" s="1">
        <v>687326000</v>
      </c>
      <c r="G40" s="1">
        <v>867833000</v>
      </c>
      <c r="H40" s="1">
        <v>1535555000</v>
      </c>
      <c r="I40" s="1">
        <v>1956147000</v>
      </c>
      <c r="J40" s="1">
        <v>2724368000</v>
      </c>
      <c r="K40" s="1">
        <v>2872868000</v>
      </c>
      <c r="L40" s="1">
        <v>3408315000</v>
      </c>
      <c r="M40" s="1">
        <v>3023729000</v>
      </c>
    </row>
    <row r="41" spans="1:13" ht="19" x14ac:dyDescent="0.25">
      <c r="A41" s="5" t="s">
        <v>33</v>
      </c>
      <c r="B41" s="1" t="s">
        <v>92</v>
      </c>
      <c r="C41" s="1">
        <v>50902000</v>
      </c>
      <c r="D41" s="1">
        <v>81999000</v>
      </c>
      <c r="E41" s="1">
        <v>96982000</v>
      </c>
      <c r="F41" s="1">
        <v>144263000</v>
      </c>
      <c r="G41" s="1">
        <v>253119000</v>
      </c>
      <c r="H41" s="1">
        <v>247346000</v>
      </c>
      <c r="I41" s="1">
        <v>331777000</v>
      </c>
      <c r="J41" s="1">
        <v>391987000</v>
      </c>
      <c r="K41" s="1">
        <v>389540000</v>
      </c>
      <c r="L41" s="1">
        <v>516509000</v>
      </c>
      <c r="M41" s="1">
        <v>923096000</v>
      </c>
    </row>
    <row r="42" spans="1:13" ht="19" x14ac:dyDescent="0.25">
      <c r="A42" s="5" t="s">
        <v>34</v>
      </c>
      <c r="B42" s="1" t="s">
        <v>92</v>
      </c>
      <c r="C42" s="1">
        <v>24181000</v>
      </c>
      <c r="D42" s="1">
        <v>73360000</v>
      </c>
      <c r="E42" s="1">
        <v>80519000</v>
      </c>
      <c r="F42" s="1">
        <v>92129000</v>
      </c>
      <c r="G42" s="1">
        <v>236490000</v>
      </c>
      <c r="H42" s="1">
        <v>306198000</v>
      </c>
      <c r="I42" s="1">
        <v>264557000</v>
      </c>
      <c r="J42" s="1">
        <v>243825000</v>
      </c>
      <c r="K42" s="1">
        <v>479668000</v>
      </c>
      <c r="L42" s="1">
        <v>650117000</v>
      </c>
      <c r="M42" s="1">
        <v>1289706000</v>
      </c>
    </row>
    <row r="43" spans="1:13" ht="19" x14ac:dyDescent="0.25">
      <c r="A43" s="5" t="s">
        <v>35</v>
      </c>
      <c r="B43" s="1" t="s">
        <v>92</v>
      </c>
      <c r="C43" s="1">
        <v>13434000</v>
      </c>
      <c r="D43" s="1">
        <v>16500000</v>
      </c>
      <c r="E43" s="1">
        <v>52521000</v>
      </c>
      <c r="F43" s="1">
        <v>50610000</v>
      </c>
      <c r="G43" s="1">
        <v>168684000</v>
      </c>
      <c r="H43" s="1">
        <v>177330000</v>
      </c>
      <c r="I43" s="1">
        <v>162321000</v>
      </c>
      <c r="J43" s="1">
        <v>111456000</v>
      </c>
      <c r="K43" s="1">
        <v>94922000</v>
      </c>
      <c r="L43" s="1">
        <v>237735000</v>
      </c>
      <c r="M43" s="1">
        <v>314217000</v>
      </c>
    </row>
    <row r="44" spans="1:13" ht="19" x14ac:dyDescent="0.25">
      <c r="A44" s="6" t="s">
        <v>36</v>
      </c>
      <c r="B44" s="10" t="s">
        <v>92</v>
      </c>
      <c r="C44" s="10">
        <v>177172000</v>
      </c>
      <c r="D44" s="10">
        <v>285523000</v>
      </c>
      <c r="E44" s="10">
        <v>679479000</v>
      </c>
      <c r="F44" s="10">
        <v>974328000</v>
      </c>
      <c r="G44" s="10">
        <v>1526126000</v>
      </c>
      <c r="H44" s="10">
        <v>2266429000</v>
      </c>
      <c r="I44" s="10">
        <v>2714802000</v>
      </c>
      <c r="J44" s="10">
        <v>3471636000</v>
      </c>
      <c r="K44" s="10">
        <v>3836998000</v>
      </c>
      <c r="L44" s="10">
        <v>4812676000</v>
      </c>
      <c r="M44" s="10">
        <v>5550748000</v>
      </c>
    </row>
    <row r="45" spans="1:13" ht="19" x14ac:dyDescent="0.25">
      <c r="A45" s="5" t="s">
        <v>37</v>
      </c>
      <c r="B45" s="1" t="s">
        <v>92</v>
      </c>
      <c r="C45" s="1">
        <v>30546000</v>
      </c>
      <c r="D45" s="1">
        <v>67204000</v>
      </c>
      <c r="E45" s="1">
        <v>71558000</v>
      </c>
      <c r="F45" s="1">
        <v>79706000</v>
      </c>
      <c r="G45" s="1">
        <v>76961000</v>
      </c>
      <c r="H45" s="1">
        <v>74279000</v>
      </c>
      <c r="I45" s="1">
        <v>75355000</v>
      </c>
      <c r="J45" s="1">
        <v>127043000</v>
      </c>
      <c r="K45" s="1">
        <v>109519000</v>
      </c>
      <c r="L45" s="1">
        <v>143816000</v>
      </c>
      <c r="M45" s="1">
        <v>148399000</v>
      </c>
    </row>
    <row r="46" spans="1:13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>
        <v>53684000</v>
      </c>
      <c r="J46" s="1">
        <v>54855000</v>
      </c>
      <c r="K46" s="1">
        <v>189696000</v>
      </c>
      <c r="L46" s="1">
        <v>188397000</v>
      </c>
      <c r="M46" s="1">
        <v>265924000</v>
      </c>
    </row>
    <row r="47" spans="1:13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>
        <v>58610000</v>
      </c>
      <c r="J47" s="1">
        <v>45235000</v>
      </c>
      <c r="K47" s="1">
        <v>122790000</v>
      </c>
      <c r="L47" s="1">
        <v>93555000</v>
      </c>
      <c r="M47" s="1">
        <v>122205000</v>
      </c>
    </row>
    <row r="48" spans="1:13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>
        <v>112294000</v>
      </c>
      <c r="J48" s="1">
        <v>100090000</v>
      </c>
      <c r="K48" s="1">
        <v>312486000</v>
      </c>
      <c r="L48" s="1">
        <v>281952000</v>
      </c>
      <c r="M48" s="1">
        <v>388129000</v>
      </c>
    </row>
    <row r="49" spans="1:13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>
        <v>36636000</v>
      </c>
      <c r="F49" s="1">
        <v>36636000</v>
      </c>
      <c r="G49" s="1">
        <v>36136000</v>
      </c>
      <c r="H49" s="1">
        <v>36136000</v>
      </c>
      <c r="I49" s="1">
        <v>30336000</v>
      </c>
      <c r="J49" s="1">
        <v>4150000</v>
      </c>
      <c r="K49" s="1">
        <v>8314000</v>
      </c>
      <c r="L49" s="1">
        <v>20247000</v>
      </c>
      <c r="M49" s="1">
        <v>39468000</v>
      </c>
    </row>
    <row r="50" spans="1:13" ht="19" x14ac:dyDescent="0.25">
      <c r="A50" s="5" t="s">
        <v>42</v>
      </c>
      <c r="B50" s="1" t="s">
        <v>92</v>
      </c>
      <c r="C50" s="1">
        <v>1679000</v>
      </c>
      <c r="D50" s="1">
        <v>4541000</v>
      </c>
      <c r="E50" s="1">
        <v>11510000</v>
      </c>
      <c r="F50" s="1">
        <v>48429000</v>
      </c>
      <c r="G50" s="1">
        <v>70960000</v>
      </c>
      <c r="H50" s="1">
        <v>65125000</v>
      </c>
      <c r="I50" s="1">
        <v>126492000</v>
      </c>
      <c r="J50" s="1">
        <v>452025000</v>
      </c>
      <c r="K50" s="1">
        <v>441531000</v>
      </c>
      <c r="L50" s="1">
        <v>442295000</v>
      </c>
      <c r="M50" s="1">
        <v>574912000</v>
      </c>
    </row>
    <row r="51" spans="1:13" ht="19" x14ac:dyDescent="0.25">
      <c r="A51" s="5" t="s">
        <v>43</v>
      </c>
      <c r="B51" s="1" t="s">
        <v>92</v>
      </c>
      <c r="C51" s="1">
        <v>10771000</v>
      </c>
      <c r="D51" s="1">
        <v>7252000</v>
      </c>
      <c r="E51" s="1">
        <v>11840000</v>
      </c>
      <c r="F51" s="1">
        <v>20791000</v>
      </c>
      <c r="G51" s="1">
        <v>18824000</v>
      </c>
      <c r="H51" s="1">
        <v>18891000</v>
      </c>
      <c r="I51" s="1">
        <v>22704000</v>
      </c>
      <c r="J51" s="1">
        <v>30346000</v>
      </c>
      <c r="K51" s="1">
        <v>30071000</v>
      </c>
      <c r="L51" s="1">
        <v>33443000</v>
      </c>
      <c r="M51" s="1">
        <v>73754000</v>
      </c>
    </row>
    <row r="52" spans="1:13" ht="19" x14ac:dyDescent="0.25">
      <c r="A52" s="5" t="s">
        <v>44</v>
      </c>
      <c r="B52" s="1" t="s">
        <v>92</v>
      </c>
      <c r="C52" s="1">
        <v>42996000</v>
      </c>
      <c r="D52" s="1">
        <v>78997000</v>
      </c>
      <c r="E52" s="1">
        <v>131544000</v>
      </c>
      <c r="F52" s="1">
        <v>185562000</v>
      </c>
      <c r="G52" s="1">
        <v>202881000</v>
      </c>
      <c r="H52" s="1">
        <v>194431000</v>
      </c>
      <c r="I52" s="1">
        <v>367181000</v>
      </c>
      <c r="J52" s="1">
        <v>713654000</v>
      </c>
      <c r="K52" s="1">
        <v>901921000</v>
      </c>
      <c r="L52" s="1">
        <v>921753000</v>
      </c>
      <c r="M52" s="1">
        <v>1224662000</v>
      </c>
    </row>
    <row r="53" spans="1:13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</row>
    <row r="54" spans="1:13" ht="19" x14ac:dyDescent="0.25">
      <c r="A54" s="7" t="s">
        <v>46</v>
      </c>
      <c r="B54" s="11" t="s">
        <v>92</v>
      </c>
      <c r="C54" s="11">
        <v>220168000</v>
      </c>
      <c r="D54" s="11">
        <v>364520000</v>
      </c>
      <c r="E54" s="11">
        <v>811023000</v>
      </c>
      <c r="F54" s="11">
        <v>1159890000</v>
      </c>
      <c r="G54" s="11">
        <v>1729007000</v>
      </c>
      <c r="H54" s="11">
        <v>2460860000</v>
      </c>
      <c r="I54" s="11">
        <v>3081983000</v>
      </c>
      <c r="J54" s="11">
        <v>4185290000</v>
      </c>
      <c r="K54" s="11">
        <v>4738919000</v>
      </c>
      <c r="L54" s="11">
        <v>5734429000</v>
      </c>
      <c r="M54" s="11">
        <v>6775410000</v>
      </c>
    </row>
    <row r="55" spans="1:13" ht="19" x14ac:dyDescent="0.25">
      <c r="A55" s="5" t="s">
        <v>47</v>
      </c>
      <c r="B55" s="1" t="s">
        <v>92</v>
      </c>
      <c r="C55" s="1">
        <v>11016000</v>
      </c>
      <c r="D55" s="1">
        <v>14741000</v>
      </c>
      <c r="E55" s="1">
        <v>32428000</v>
      </c>
      <c r="F55" s="1">
        <v>43966000</v>
      </c>
      <c r="G55" s="1">
        <v>79457000</v>
      </c>
      <c r="H55" s="1">
        <v>52200000</v>
      </c>
      <c r="I55" s="1">
        <v>93757000</v>
      </c>
      <c r="J55" s="1">
        <v>92105000</v>
      </c>
      <c r="K55" s="1">
        <v>134235000</v>
      </c>
      <c r="L55" s="1">
        <v>202636000</v>
      </c>
      <c r="M55" s="1">
        <v>232572000</v>
      </c>
    </row>
    <row r="56" spans="1:13" ht="19" x14ac:dyDescent="0.25">
      <c r="A56" s="5" t="s">
        <v>48</v>
      </c>
      <c r="B56" s="1" t="s">
        <v>92</v>
      </c>
      <c r="C56" s="1" t="s">
        <v>92</v>
      </c>
      <c r="D56" s="1">
        <v>98793000</v>
      </c>
      <c r="E56" s="1">
        <v>1087000</v>
      </c>
      <c r="F56" s="1">
        <v>1336000</v>
      </c>
      <c r="G56" s="1" t="s">
        <v>92</v>
      </c>
      <c r="H56" s="1" t="s">
        <v>92</v>
      </c>
      <c r="I56" s="1" t="s">
        <v>92</v>
      </c>
      <c r="J56" s="1">
        <v>0</v>
      </c>
      <c r="K56" s="1">
        <v>0</v>
      </c>
      <c r="L56" s="1">
        <v>0</v>
      </c>
      <c r="M56" s="1">
        <v>0</v>
      </c>
    </row>
    <row r="57" spans="1:13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>
        <v>4678000</v>
      </c>
      <c r="F57" s="1">
        <v>4694000</v>
      </c>
      <c r="G57" s="1">
        <v>1098000</v>
      </c>
      <c r="H57" s="1">
        <v>794000</v>
      </c>
      <c r="I57" s="1">
        <v>839000</v>
      </c>
      <c r="J57" s="1">
        <v>1716000</v>
      </c>
      <c r="K57" s="1">
        <v>1870000</v>
      </c>
      <c r="L57" s="1">
        <v>69916000</v>
      </c>
      <c r="M57" s="1">
        <v>89839000</v>
      </c>
    </row>
    <row r="58" spans="1:13" ht="19" x14ac:dyDescent="0.25">
      <c r="A58" s="5" t="s">
        <v>50</v>
      </c>
      <c r="B58" s="1" t="s">
        <v>92</v>
      </c>
      <c r="C58" s="1">
        <v>17602000</v>
      </c>
      <c r="D58" s="1">
        <v>41306000</v>
      </c>
      <c r="E58" s="1">
        <v>60327000</v>
      </c>
      <c r="F58" s="1">
        <v>122049000</v>
      </c>
      <c r="G58" s="1">
        <v>273350000</v>
      </c>
      <c r="H58" s="1">
        <v>327706000</v>
      </c>
      <c r="I58" s="1">
        <v>358586000</v>
      </c>
      <c r="J58" s="1">
        <v>312668000</v>
      </c>
      <c r="K58" s="1">
        <v>396259000</v>
      </c>
      <c r="L58" s="1">
        <v>593578000</v>
      </c>
      <c r="M58" s="1">
        <v>637432000</v>
      </c>
    </row>
    <row r="59" spans="1:13" ht="19" x14ac:dyDescent="0.25">
      <c r="A59" s="5" t="s">
        <v>51</v>
      </c>
      <c r="B59" s="1" t="s">
        <v>92</v>
      </c>
      <c r="C59" s="1">
        <v>17746000</v>
      </c>
      <c r="D59" s="1">
        <v>54504000</v>
      </c>
      <c r="E59" s="1">
        <v>45853000</v>
      </c>
      <c r="F59" s="1">
        <v>62966000</v>
      </c>
      <c r="G59" s="1">
        <v>105648000</v>
      </c>
      <c r="H59" s="1">
        <v>149205000</v>
      </c>
      <c r="I59" s="1">
        <v>153322000</v>
      </c>
      <c r="J59" s="1">
        <v>190585000</v>
      </c>
      <c r="K59" s="1">
        <v>235879000</v>
      </c>
      <c r="L59" s="1">
        <v>243699000</v>
      </c>
      <c r="M59" s="1">
        <v>333688000</v>
      </c>
    </row>
    <row r="60" spans="1:13" ht="19" x14ac:dyDescent="0.25">
      <c r="A60" s="6" t="s">
        <v>52</v>
      </c>
      <c r="B60" s="10" t="s">
        <v>92</v>
      </c>
      <c r="C60" s="10">
        <v>46364000</v>
      </c>
      <c r="D60" s="10">
        <v>209344000</v>
      </c>
      <c r="E60" s="10">
        <v>144373000</v>
      </c>
      <c r="F60" s="10">
        <v>235011000</v>
      </c>
      <c r="G60" s="10">
        <v>459553000</v>
      </c>
      <c r="H60" s="10">
        <v>529905000</v>
      </c>
      <c r="I60" s="10">
        <v>606504000</v>
      </c>
      <c r="J60" s="10">
        <v>597074000</v>
      </c>
      <c r="K60" s="10">
        <v>768243000</v>
      </c>
      <c r="L60" s="10">
        <v>1109829000</v>
      </c>
      <c r="M60" s="10">
        <v>1293531000</v>
      </c>
    </row>
    <row r="61" spans="1:13" ht="19" x14ac:dyDescent="0.25">
      <c r="A61" s="5" t="s">
        <v>53</v>
      </c>
      <c r="B61" s="1" t="s">
        <v>92</v>
      </c>
      <c r="C61" s="1">
        <v>97673000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>
        <v>83022000</v>
      </c>
      <c r="K61" s="1">
        <v>72397000</v>
      </c>
      <c r="L61" s="1">
        <v>56527000</v>
      </c>
      <c r="M61" s="1">
        <v>43964000</v>
      </c>
    </row>
    <row r="62" spans="1:13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>
        <v>46141000</v>
      </c>
      <c r="F62" s="1">
        <v>74759000</v>
      </c>
      <c r="G62" s="1">
        <v>99585000</v>
      </c>
      <c r="H62" s="1">
        <v>187556000</v>
      </c>
      <c r="I62" s="1">
        <v>228641000</v>
      </c>
      <c r="J62" s="1">
        <v>262620000</v>
      </c>
      <c r="K62" s="1">
        <v>254568000</v>
      </c>
      <c r="L62" s="1">
        <v>335734000</v>
      </c>
      <c r="M62" s="1">
        <v>403814000</v>
      </c>
    </row>
    <row r="63" spans="1:13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>
        <v>254710000</v>
      </c>
      <c r="K63" s="1">
        <v>227936000</v>
      </c>
      <c r="L63" s="1">
        <v>129074000</v>
      </c>
      <c r="M63" s="1">
        <v>42000</v>
      </c>
    </row>
    <row r="64" spans="1:13" ht="19" x14ac:dyDescent="0.25">
      <c r="A64" s="5" t="s">
        <v>55</v>
      </c>
      <c r="B64" s="1" t="s">
        <v>92</v>
      </c>
      <c r="C64" s="1">
        <v>57221000</v>
      </c>
      <c r="D64" s="1">
        <v>77444000</v>
      </c>
      <c r="E64" s="1">
        <v>64851000</v>
      </c>
      <c r="F64" s="1">
        <v>61968000</v>
      </c>
      <c r="G64" s="1">
        <v>62049000</v>
      </c>
      <c r="H64" s="1">
        <v>81485000</v>
      </c>
      <c r="I64" s="1">
        <v>103449000</v>
      </c>
      <c r="J64" s="1">
        <v>93178000</v>
      </c>
      <c r="K64" s="1">
        <v>95484000</v>
      </c>
      <c r="L64" s="1">
        <v>124665000</v>
      </c>
      <c r="M64" s="1">
        <v>148239000</v>
      </c>
    </row>
    <row r="65" spans="1:13" ht="19" x14ac:dyDescent="0.25">
      <c r="A65" s="5" t="s">
        <v>56</v>
      </c>
      <c r="B65" s="1" t="s">
        <v>92</v>
      </c>
      <c r="C65" s="1">
        <v>154894000</v>
      </c>
      <c r="D65" s="1">
        <v>77444000</v>
      </c>
      <c r="E65" s="1">
        <v>110992000</v>
      </c>
      <c r="F65" s="1">
        <v>136727000</v>
      </c>
      <c r="G65" s="1">
        <v>161634000</v>
      </c>
      <c r="H65" s="1">
        <v>269041000</v>
      </c>
      <c r="I65" s="1">
        <v>332090000</v>
      </c>
      <c r="J65" s="1">
        <v>693530000</v>
      </c>
      <c r="K65" s="1">
        <v>650385000</v>
      </c>
      <c r="L65" s="1">
        <v>646000000</v>
      </c>
      <c r="M65" s="1">
        <v>596059000</v>
      </c>
    </row>
    <row r="66" spans="1:13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</row>
    <row r="67" spans="1:13" ht="19" x14ac:dyDescent="0.25">
      <c r="A67" s="6" t="s">
        <v>58</v>
      </c>
      <c r="B67" s="10" t="s">
        <v>92</v>
      </c>
      <c r="C67" s="10">
        <v>201258000</v>
      </c>
      <c r="D67" s="10">
        <v>286788000</v>
      </c>
      <c r="E67" s="10">
        <v>255365000</v>
      </c>
      <c r="F67" s="10">
        <v>371738000</v>
      </c>
      <c r="G67" s="10">
        <v>621187000</v>
      </c>
      <c r="H67" s="10">
        <v>798946000</v>
      </c>
      <c r="I67" s="10">
        <v>938594000</v>
      </c>
      <c r="J67" s="10">
        <v>1290604000</v>
      </c>
      <c r="K67" s="10">
        <v>1418628000</v>
      </c>
      <c r="L67" s="10">
        <v>1755829000</v>
      </c>
      <c r="M67" s="10">
        <v>1889590000</v>
      </c>
    </row>
    <row r="68" spans="1:13" ht="19" x14ac:dyDescent="0.25">
      <c r="A68" s="5" t="s">
        <v>59</v>
      </c>
      <c r="B68" s="1" t="s">
        <v>92</v>
      </c>
      <c r="C68" s="1">
        <v>3000</v>
      </c>
      <c r="D68" s="1">
        <v>3000</v>
      </c>
      <c r="E68" s="1">
        <v>7000</v>
      </c>
      <c r="F68" s="1">
        <v>7000</v>
      </c>
      <c r="G68" s="1">
        <v>7000</v>
      </c>
      <c r="H68" s="1">
        <v>7000</v>
      </c>
      <c r="I68" s="1">
        <v>8000</v>
      </c>
      <c r="J68" s="1">
        <v>8000</v>
      </c>
      <c r="K68" s="1">
        <v>8000</v>
      </c>
      <c r="L68" s="1">
        <v>31000</v>
      </c>
      <c r="M68" s="1">
        <v>31000</v>
      </c>
    </row>
    <row r="69" spans="1:13" ht="19" x14ac:dyDescent="0.25">
      <c r="A69" s="5" t="s">
        <v>60</v>
      </c>
      <c r="B69" s="1" t="s">
        <v>92</v>
      </c>
      <c r="C69" s="1">
        <v>504000</v>
      </c>
      <c r="D69" s="1">
        <v>42964000</v>
      </c>
      <c r="E69" s="1">
        <v>129814000</v>
      </c>
      <c r="F69" s="1">
        <v>250916000</v>
      </c>
      <c r="G69" s="1">
        <v>435105000</v>
      </c>
      <c r="H69" s="1">
        <v>859114000</v>
      </c>
      <c r="I69" s="1">
        <v>1190803000</v>
      </c>
      <c r="J69" s="1">
        <v>1788230000</v>
      </c>
      <c r="K69" s="1">
        <v>2027614000</v>
      </c>
      <c r="L69" s="1">
        <v>2456823000</v>
      </c>
      <c r="M69" s="1">
        <v>3138983000</v>
      </c>
    </row>
    <row r="70" spans="1:13" ht="19" x14ac:dyDescent="0.25">
      <c r="A70" s="5" t="s">
        <v>61</v>
      </c>
      <c r="B70" s="1" t="s">
        <v>92</v>
      </c>
      <c r="C70" s="1">
        <v>38000</v>
      </c>
      <c r="D70" s="1">
        <v>36000</v>
      </c>
      <c r="E70" s="1">
        <v>-334000</v>
      </c>
      <c r="F70" s="1">
        <v>-675000</v>
      </c>
      <c r="G70" s="1">
        <v>-1475000</v>
      </c>
      <c r="H70" s="1">
        <v>-1938000</v>
      </c>
      <c r="I70" s="1">
        <v>-3994000</v>
      </c>
      <c r="J70" s="1">
        <v>143000</v>
      </c>
      <c r="K70" s="1">
        <v>238000</v>
      </c>
      <c r="L70" s="1">
        <v>-8300000</v>
      </c>
      <c r="M70" s="1">
        <v>-33908000</v>
      </c>
    </row>
    <row r="71" spans="1:13" ht="19" x14ac:dyDescent="0.25">
      <c r="A71" s="5" t="s">
        <v>62</v>
      </c>
      <c r="B71" s="1" t="s">
        <v>92</v>
      </c>
      <c r="C71" s="1">
        <v>12373000</v>
      </c>
      <c r="D71" s="1">
        <v>28737000</v>
      </c>
      <c r="E71" s="1">
        <v>426171000</v>
      </c>
      <c r="F71" s="1">
        <v>537904000</v>
      </c>
      <c r="G71" s="1">
        <v>674183000</v>
      </c>
      <c r="H71" s="1">
        <v>804731000</v>
      </c>
      <c r="I71" s="1">
        <v>956572000</v>
      </c>
      <c r="J71" s="1">
        <v>1106305000</v>
      </c>
      <c r="K71" s="1">
        <v>1292431000</v>
      </c>
      <c r="L71" s="1">
        <v>1530046000</v>
      </c>
      <c r="M71" s="1">
        <v>1780714000</v>
      </c>
    </row>
    <row r="72" spans="1:13" ht="19" x14ac:dyDescent="0.25">
      <c r="A72" s="6" t="s">
        <v>63</v>
      </c>
      <c r="B72" s="10" t="s">
        <v>92</v>
      </c>
      <c r="C72" s="10">
        <v>18910000</v>
      </c>
      <c r="D72" s="10">
        <v>77732000</v>
      </c>
      <c r="E72" s="10">
        <v>555658000</v>
      </c>
      <c r="F72" s="10">
        <v>788152000</v>
      </c>
      <c r="G72" s="10">
        <v>1107820000</v>
      </c>
      <c r="H72" s="10">
        <v>1661914000</v>
      </c>
      <c r="I72" s="10">
        <v>2143389000</v>
      </c>
      <c r="J72" s="10">
        <v>2894686000</v>
      </c>
      <c r="K72" s="10">
        <v>3320291000</v>
      </c>
      <c r="L72" s="10">
        <v>3978600000</v>
      </c>
      <c r="M72" s="10">
        <v>4885820000</v>
      </c>
    </row>
    <row r="73" spans="1:13" ht="19" x14ac:dyDescent="0.25">
      <c r="A73" s="7" t="s">
        <v>64</v>
      </c>
      <c r="B73" s="11" t="s">
        <v>92</v>
      </c>
      <c r="C73" s="11">
        <v>220168000</v>
      </c>
      <c r="D73" s="11">
        <v>364520000</v>
      </c>
      <c r="E73" s="11">
        <v>811023000</v>
      </c>
      <c r="F73" s="11">
        <v>1159890000</v>
      </c>
      <c r="G73" s="11">
        <v>1729007000</v>
      </c>
      <c r="H73" s="11">
        <v>2460860000</v>
      </c>
      <c r="I73" s="11">
        <v>3081983000</v>
      </c>
      <c r="J73" s="11">
        <v>4185290000</v>
      </c>
      <c r="K73" s="11">
        <v>4738919000</v>
      </c>
      <c r="L73" s="11">
        <v>5734429000</v>
      </c>
      <c r="M73" s="11">
        <v>6775410000</v>
      </c>
    </row>
    <row r="74" spans="1:13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</row>
    <row r="75" spans="1:13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</row>
    <row r="76" spans="1:13" ht="19" x14ac:dyDescent="0.25">
      <c r="A76" s="5" t="s">
        <v>66</v>
      </c>
      <c r="B76" s="1">
        <v>34035000</v>
      </c>
      <c r="C76" s="1">
        <v>21349000</v>
      </c>
      <c r="D76" s="1">
        <v>42460000</v>
      </c>
      <c r="E76" s="1">
        <v>86850000</v>
      </c>
      <c r="F76" s="1">
        <v>121102000</v>
      </c>
      <c r="G76" s="1">
        <v>184189000</v>
      </c>
      <c r="H76" s="1">
        <v>423201000</v>
      </c>
      <c r="I76" s="1">
        <v>328115000</v>
      </c>
      <c r="J76" s="1">
        <v>859867000</v>
      </c>
      <c r="K76" s="1">
        <v>634557000</v>
      </c>
      <c r="L76" s="1">
        <v>840854000</v>
      </c>
      <c r="M76" s="1">
        <v>1352446000</v>
      </c>
    </row>
    <row r="77" spans="1:13" ht="19" x14ac:dyDescent="0.25">
      <c r="A77" s="5" t="s">
        <v>13</v>
      </c>
      <c r="B77" s="1">
        <v>1293000</v>
      </c>
      <c r="C77" s="1">
        <v>1779000</v>
      </c>
      <c r="D77" s="1">
        <v>5044000</v>
      </c>
      <c r="E77" s="1">
        <v>10021000</v>
      </c>
      <c r="F77" s="1">
        <v>13671000</v>
      </c>
      <c r="G77" s="1">
        <v>19749000</v>
      </c>
      <c r="H77" s="1">
        <v>20640000</v>
      </c>
      <c r="I77" s="1">
        <v>27671000</v>
      </c>
      <c r="J77" s="1">
        <v>32849000</v>
      </c>
      <c r="K77" s="1">
        <v>44590000</v>
      </c>
      <c r="L77" s="1">
        <v>50334000</v>
      </c>
      <c r="M77" s="1">
        <v>75467000</v>
      </c>
    </row>
    <row r="78" spans="1:13" ht="19" x14ac:dyDescent="0.25">
      <c r="A78" s="5" t="s">
        <v>67</v>
      </c>
      <c r="B78" s="1">
        <v>-4234000</v>
      </c>
      <c r="C78" s="1">
        <v>-3722000</v>
      </c>
      <c r="D78" s="1">
        <v>-8831000</v>
      </c>
      <c r="E78" s="1">
        <v>-6774000</v>
      </c>
      <c r="F78" s="1">
        <v>-24409000</v>
      </c>
      <c r="G78" s="1">
        <v>-21720000</v>
      </c>
      <c r="H78" s="1">
        <v>8426000</v>
      </c>
      <c r="I78" s="1">
        <v>-57896000</v>
      </c>
      <c r="J78" s="1">
        <v>-75741000</v>
      </c>
      <c r="K78" s="1">
        <v>-9144000</v>
      </c>
      <c r="L78" s="1">
        <v>-99290000</v>
      </c>
      <c r="M78" s="1">
        <v>-244382000</v>
      </c>
    </row>
    <row r="79" spans="1:13" ht="19" x14ac:dyDescent="0.25">
      <c r="A79" s="5" t="s">
        <v>68</v>
      </c>
      <c r="B79" s="1">
        <v>1974000</v>
      </c>
      <c r="C79" s="1">
        <v>4703000</v>
      </c>
      <c r="D79" s="1">
        <v>10159000</v>
      </c>
      <c r="E79" s="1">
        <v>27619000</v>
      </c>
      <c r="F79" s="1">
        <v>45303000</v>
      </c>
      <c r="G79" s="1">
        <v>59032000</v>
      </c>
      <c r="H79" s="1">
        <v>75427000</v>
      </c>
      <c r="I79" s="1">
        <v>91202000</v>
      </c>
      <c r="J79" s="1">
        <v>101280000</v>
      </c>
      <c r="K79" s="1">
        <v>137042000</v>
      </c>
      <c r="L79" s="1">
        <v>186875000</v>
      </c>
      <c r="M79" s="1">
        <v>230934000</v>
      </c>
    </row>
    <row r="80" spans="1:13" ht="19" x14ac:dyDescent="0.25">
      <c r="A80" s="14" t="s">
        <v>105</v>
      </c>
      <c r="B80" s="15">
        <f t="shared" ref="B80:W80" si="6">B79/B3</f>
        <v>1.4115325210228248E-2</v>
      </c>
      <c r="C80" s="15">
        <f t="shared" si="6"/>
        <v>2.4316470880211782E-2</v>
      </c>
      <c r="D80" s="15">
        <f t="shared" si="6"/>
        <v>2.8123823444732354E-2</v>
      </c>
      <c r="E80" s="15">
        <f t="shared" si="6"/>
        <v>4.7284225808329312E-2</v>
      </c>
      <c r="F80" s="15">
        <f t="shared" si="6"/>
        <v>5.408725738457075E-2</v>
      </c>
      <c r="G80" s="15">
        <f t="shared" si="6"/>
        <v>5.2279246559632009E-2</v>
      </c>
      <c r="H80" s="15">
        <f t="shared" si="6"/>
        <v>4.581924521287388E-2</v>
      </c>
      <c r="I80" s="15">
        <f t="shared" si="6"/>
        <v>4.239254167927492E-2</v>
      </c>
      <c r="J80" s="15">
        <f t="shared" si="6"/>
        <v>4.201258884326832E-2</v>
      </c>
      <c r="K80" s="15">
        <f t="shared" si="6"/>
        <v>5.9133242891514691E-2</v>
      </c>
      <c r="L80" s="15">
        <f t="shared" si="6"/>
        <v>6.338963859680187E-2</v>
      </c>
      <c r="M80" s="15">
        <f t="shared" si="6"/>
        <v>5.2708893002321226E-2</v>
      </c>
    </row>
    <row r="81" spans="1:21" ht="19" x14ac:dyDescent="0.25">
      <c r="A81" s="5" t="s">
        <v>69</v>
      </c>
      <c r="B81" s="1">
        <v>-22644000</v>
      </c>
      <c r="C81" s="1">
        <v>926000</v>
      </c>
      <c r="D81" s="1">
        <v>-14611000</v>
      </c>
      <c r="E81" s="1">
        <v>15821000</v>
      </c>
      <c r="F81" s="1">
        <v>80646000</v>
      </c>
      <c r="G81" s="1">
        <v>-68448000</v>
      </c>
      <c r="H81" s="1">
        <v>102481000</v>
      </c>
      <c r="I81" s="1">
        <v>103587000</v>
      </c>
      <c r="J81" s="1">
        <v>40798000</v>
      </c>
      <c r="K81" s="1">
        <v>-85686000</v>
      </c>
      <c r="L81" s="1">
        <v>-6876000</v>
      </c>
      <c r="M81" s="1">
        <v>-921652000</v>
      </c>
    </row>
    <row r="82" spans="1:21" ht="19" x14ac:dyDescent="0.25">
      <c r="A82" s="5" t="s">
        <v>70</v>
      </c>
      <c r="B82" s="1">
        <v>-11596000</v>
      </c>
      <c r="C82" s="1">
        <v>-22043000</v>
      </c>
      <c r="D82" s="1">
        <v>-28289000</v>
      </c>
      <c r="E82" s="1">
        <v>-19844000</v>
      </c>
      <c r="F82" s="1">
        <v>-47281000</v>
      </c>
      <c r="G82" s="1">
        <v>-108856000</v>
      </c>
      <c r="H82" s="1">
        <v>5773000</v>
      </c>
      <c r="I82" s="1">
        <v>-77916000</v>
      </c>
      <c r="J82" s="1">
        <v>-60210000</v>
      </c>
      <c r="K82" s="1">
        <v>10673000</v>
      </c>
      <c r="L82" s="1">
        <v>-126969000</v>
      </c>
      <c r="M82" s="1">
        <v>-401531000</v>
      </c>
    </row>
    <row r="83" spans="1:21" ht="21" x14ac:dyDescent="0.25">
      <c r="A83" s="5" t="s">
        <v>34</v>
      </c>
      <c r="B83" s="1">
        <v>-7733000</v>
      </c>
      <c r="C83" s="1">
        <v>-7153000</v>
      </c>
      <c r="D83" s="1">
        <v>-49179000</v>
      </c>
      <c r="E83" s="1">
        <v>-13425000</v>
      </c>
      <c r="F83" s="1">
        <v>-14123000</v>
      </c>
      <c r="G83" s="1">
        <v>-144361000</v>
      </c>
      <c r="H83" s="1">
        <v>-69708000</v>
      </c>
      <c r="I83" s="1">
        <v>51054000</v>
      </c>
      <c r="J83" s="1">
        <v>20927000</v>
      </c>
      <c r="K83" s="1">
        <v>-235318000</v>
      </c>
      <c r="L83" s="1">
        <v>-170449000</v>
      </c>
      <c r="M83" s="1">
        <v>-638948000</v>
      </c>
      <c r="T83" s="33" t="s">
        <v>127</v>
      </c>
      <c r="U83" s="34"/>
    </row>
    <row r="84" spans="1:21" ht="19" x14ac:dyDescent="0.25">
      <c r="A84" s="5" t="s">
        <v>47</v>
      </c>
      <c r="B84" s="1">
        <v>1434000</v>
      </c>
      <c r="C84" s="1">
        <v>3842000</v>
      </c>
      <c r="D84" s="1">
        <v>3865000</v>
      </c>
      <c r="E84" s="1">
        <v>14007000</v>
      </c>
      <c r="F84" s="1">
        <v>9037000</v>
      </c>
      <c r="G84" s="1">
        <v>38678000</v>
      </c>
      <c r="H84" s="1">
        <v>-30104000</v>
      </c>
      <c r="I84" s="1">
        <v>39337000</v>
      </c>
      <c r="J84" s="1">
        <v>-1937000</v>
      </c>
      <c r="K84" s="1">
        <v>41161000</v>
      </c>
      <c r="L84" s="1">
        <v>66681000</v>
      </c>
      <c r="M84" s="1">
        <v>31436000</v>
      </c>
      <c r="T84" s="35" t="s">
        <v>128</v>
      </c>
      <c r="U84" s="36"/>
    </row>
    <row r="85" spans="1:21" ht="20" x14ac:dyDescent="0.25">
      <c r="A85" s="5" t="s">
        <v>71</v>
      </c>
      <c r="B85" s="1">
        <v>6137000</v>
      </c>
      <c r="C85" s="1">
        <v>13451000</v>
      </c>
      <c r="D85" s="1">
        <v>34127000</v>
      </c>
      <c r="E85" s="1">
        <v>47564000</v>
      </c>
      <c r="F85" s="1">
        <v>90340000</v>
      </c>
      <c r="G85" s="1">
        <v>176126000</v>
      </c>
      <c r="H85" s="1">
        <v>142327000</v>
      </c>
      <c r="I85" s="1">
        <v>70533000</v>
      </c>
      <c r="J85" s="1">
        <v>-11939000</v>
      </c>
      <c r="K85" s="1">
        <v>50352000</v>
      </c>
      <c r="L85" s="1">
        <v>278485000</v>
      </c>
      <c r="M85" s="1" t="s">
        <v>92</v>
      </c>
      <c r="T85" s="23" t="s">
        <v>129</v>
      </c>
      <c r="U85" s="24">
        <f>M17</f>
        <v>0</v>
      </c>
    </row>
    <row r="86" spans="1:21" ht="20" x14ac:dyDescent="0.25">
      <c r="A86" s="5" t="s">
        <v>72</v>
      </c>
      <c r="B86" s="1">
        <v>2006000</v>
      </c>
      <c r="C86" s="1">
        <v>1271000</v>
      </c>
      <c r="D86" s="1">
        <v>427000</v>
      </c>
      <c r="E86" s="1">
        <v>-19021000</v>
      </c>
      <c r="F86" s="1">
        <v>-35780000</v>
      </c>
      <c r="G86" s="1">
        <v>-41362000</v>
      </c>
      <c r="H86" s="1">
        <v>1452000</v>
      </c>
      <c r="I86" s="1">
        <v>10440000</v>
      </c>
      <c r="J86" s="1">
        <v>3981000</v>
      </c>
      <c r="K86" s="1">
        <v>13755000</v>
      </c>
      <c r="L86" s="1">
        <v>43959000</v>
      </c>
      <c r="M86" s="1" t="s">
        <v>92</v>
      </c>
      <c r="T86" s="23" t="s">
        <v>130</v>
      </c>
      <c r="U86" s="24">
        <f>M56</f>
        <v>0</v>
      </c>
    </row>
    <row r="87" spans="1:21" ht="20" x14ac:dyDescent="0.25">
      <c r="A87" s="6" t="s">
        <v>73</v>
      </c>
      <c r="B87" s="10">
        <v>12430000</v>
      </c>
      <c r="C87" s="10">
        <v>26306000</v>
      </c>
      <c r="D87" s="10">
        <v>34648000</v>
      </c>
      <c r="E87" s="10">
        <v>114516000</v>
      </c>
      <c r="F87" s="10">
        <v>200533000</v>
      </c>
      <c r="G87" s="10">
        <v>131440000</v>
      </c>
      <c r="H87" s="10">
        <v>631627000</v>
      </c>
      <c r="I87" s="10">
        <v>503119000</v>
      </c>
      <c r="J87" s="10">
        <v>963034000</v>
      </c>
      <c r="K87" s="10">
        <v>735114000</v>
      </c>
      <c r="L87" s="10">
        <v>1015856000</v>
      </c>
      <c r="M87" s="10">
        <v>492813000</v>
      </c>
      <c r="T87" s="23" t="s">
        <v>131</v>
      </c>
      <c r="U87" s="24">
        <f>M61</f>
        <v>43964000</v>
      </c>
    </row>
    <row r="88" spans="1:21" ht="20" x14ac:dyDescent="0.25">
      <c r="A88" s="5" t="s">
        <v>74</v>
      </c>
      <c r="B88" s="1">
        <v>-2770000</v>
      </c>
      <c r="C88" s="1">
        <v>-3312000</v>
      </c>
      <c r="D88" s="1">
        <v>-20316000</v>
      </c>
      <c r="E88" s="1">
        <v>-13134000</v>
      </c>
      <c r="F88" s="1">
        <v>-19989000</v>
      </c>
      <c r="G88" s="1">
        <v>-21419000</v>
      </c>
      <c r="H88" s="1">
        <v>-15279000</v>
      </c>
      <c r="I88" s="1">
        <v>-23830000</v>
      </c>
      <c r="J88" s="1">
        <v>-15751000</v>
      </c>
      <c r="K88" s="1">
        <v>-15384000</v>
      </c>
      <c r="L88" s="1">
        <v>-64736000</v>
      </c>
      <c r="M88" s="1">
        <v>-44644000</v>
      </c>
      <c r="T88" s="37" t="s">
        <v>132</v>
      </c>
      <c r="U88" s="38">
        <f>U85/(U86+U87)</f>
        <v>0</v>
      </c>
    </row>
    <row r="89" spans="1:21" ht="20" customHeight="1" x14ac:dyDescent="0.25">
      <c r="A89" s="14" t="s">
        <v>106</v>
      </c>
      <c r="B89" s="15">
        <f t="shared" ref="B89:W89" si="7">(-1*B88)/B3</f>
        <v>1.9807219266632342E-2</v>
      </c>
      <c r="C89" s="15">
        <f t="shared" si="7"/>
        <v>1.7124420913302449E-2</v>
      </c>
      <c r="D89" s="15">
        <f t="shared" si="7"/>
        <v>5.6242110158793435E-2</v>
      </c>
      <c r="E89" s="15">
        <f t="shared" si="7"/>
        <v>2.2485644728867705E-2</v>
      </c>
      <c r="F89" s="15">
        <f t="shared" si="7"/>
        <v>2.3864869608197795E-2</v>
      </c>
      <c r="G89" s="15">
        <f t="shared" si="7"/>
        <v>1.8968850488900225E-2</v>
      </c>
      <c r="H89" s="15">
        <f t="shared" si="7"/>
        <v>9.2814542220623908E-3</v>
      </c>
      <c r="I89" s="15">
        <f t="shared" si="7"/>
        <v>1.1076667926329701E-2</v>
      </c>
      <c r="J89" s="15">
        <f t="shared" si="7"/>
        <v>6.5337706049597086E-3</v>
      </c>
      <c r="K89" s="15">
        <f t="shared" si="7"/>
        <v>6.6381533299503951E-3</v>
      </c>
      <c r="L89" s="15">
        <f t="shared" si="7"/>
        <v>2.1959018831853194E-2</v>
      </c>
      <c r="M89" s="15">
        <f t="shared" si="7"/>
        <v>1.0189646475597482E-2</v>
      </c>
      <c r="T89" s="23" t="s">
        <v>107</v>
      </c>
      <c r="U89" s="24">
        <f>M27</f>
        <v>229350000</v>
      </c>
    </row>
    <row r="90" spans="1:21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>
        <v>-96821000</v>
      </c>
      <c r="J90" s="1">
        <v>26855000</v>
      </c>
      <c r="K90" s="1">
        <v>-224021000</v>
      </c>
      <c r="L90" s="1">
        <v>-18634000</v>
      </c>
      <c r="M90" s="1">
        <v>-145087000</v>
      </c>
      <c r="T90" s="23" t="s">
        <v>19</v>
      </c>
      <c r="U90" s="24">
        <f>M25</f>
        <v>1581796000</v>
      </c>
    </row>
    <row r="91" spans="1:21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>
        <v>-210019000</v>
      </c>
      <c r="F91" s="1" t="s">
        <v>92</v>
      </c>
      <c r="G91" s="1">
        <v>-439711000</v>
      </c>
      <c r="H91" s="1">
        <v>-585373000</v>
      </c>
      <c r="I91" s="1">
        <v>-1182259000</v>
      </c>
      <c r="J91" s="1">
        <v>-1503893000</v>
      </c>
      <c r="K91" s="1">
        <v>-2688064000</v>
      </c>
      <c r="L91" s="1">
        <v>-2317264000</v>
      </c>
      <c r="M91" s="1">
        <v>-1418857000</v>
      </c>
      <c r="T91" s="37" t="s">
        <v>133</v>
      </c>
      <c r="U91" s="38">
        <f>U89/U90</f>
        <v>0.14499341255130244</v>
      </c>
    </row>
    <row r="92" spans="1:21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208200000</v>
      </c>
      <c r="G92" s="1">
        <v>137855000</v>
      </c>
      <c r="H92" s="1">
        <v>206332000</v>
      </c>
      <c r="I92" s="1">
        <v>547797000</v>
      </c>
      <c r="J92" s="1">
        <v>1208717000</v>
      </c>
      <c r="K92" s="1">
        <v>2318667000</v>
      </c>
      <c r="L92" s="1">
        <v>1475072000</v>
      </c>
      <c r="M92" s="1">
        <v>1837606000</v>
      </c>
      <c r="T92" s="39" t="s">
        <v>134</v>
      </c>
      <c r="U92" s="40">
        <f>U88*(1-U91)</f>
        <v>0</v>
      </c>
    </row>
    <row r="93" spans="1:21" ht="19" x14ac:dyDescent="0.25">
      <c r="A93" s="5" t="s">
        <v>78</v>
      </c>
      <c r="B93" s="1" t="s">
        <v>92</v>
      </c>
      <c r="C93" s="1">
        <v>-9040000</v>
      </c>
      <c r="D93" s="1">
        <v>825000</v>
      </c>
      <c r="E93" s="1">
        <v>-26209000</v>
      </c>
      <c r="F93" s="1">
        <v>-4041000</v>
      </c>
      <c r="G93" s="1">
        <v>-2704000</v>
      </c>
      <c r="H93" s="1">
        <v>1740000</v>
      </c>
      <c r="I93" s="1" t="s">
        <v>92</v>
      </c>
      <c r="J93" s="1" t="s">
        <v>92</v>
      </c>
      <c r="K93" s="1" t="s">
        <v>92</v>
      </c>
      <c r="L93" s="1" t="s">
        <v>92</v>
      </c>
      <c r="M93" s="1">
        <v>-12691000</v>
      </c>
      <c r="T93" s="35" t="s">
        <v>135</v>
      </c>
      <c r="U93" s="36"/>
    </row>
    <row r="94" spans="1:21" ht="20" x14ac:dyDescent="0.25">
      <c r="A94" s="6" t="s">
        <v>79</v>
      </c>
      <c r="B94" s="10">
        <v>-2770000</v>
      </c>
      <c r="C94" s="10">
        <v>-12352000</v>
      </c>
      <c r="D94" s="10">
        <v>-19491000</v>
      </c>
      <c r="E94" s="10">
        <v>-249362000</v>
      </c>
      <c r="F94" s="10">
        <v>184170000</v>
      </c>
      <c r="G94" s="10">
        <v>-325979000</v>
      </c>
      <c r="H94" s="10">
        <v>-392580000</v>
      </c>
      <c r="I94" s="10">
        <v>-755113000</v>
      </c>
      <c r="J94" s="10">
        <v>-284072000</v>
      </c>
      <c r="K94" s="10">
        <v>-608802000</v>
      </c>
      <c r="L94" s="10">
        <v>-925562000</v>
      </c>
      <c r="M94" s="10">
        <v>216327000</v>
      </c>
      <c r="T94" s="23" t="s">
        <v>136</v>
      </c>
      <c r="U94" s="41">
        <v>4.095E-2</v>
      </c>
    </row>
    <row r="95" spans="1:21" ht="20" x14ac:dyDescent="0.25">
      <c r="A95" s="5" t="s">
        <v>80</v>
      </c>
      <c r="B95" s="1">
        <v>-55555000</v>
      </c>
      <c r="C95" s="1" t="s">
        <v>92</v>
      </c>
      <c r="D95" s="1" t="s">
        <v>92</v>
      </c>
      <c r="E95" s="1">
        <v>-20793000</v>
      </c>
      <c r="F95" s="1">
        <v>-1086000</v>
      </c>
      <c r="G95" s="1">
        <v>-1336000</v>
      </c>
      <c r="H95" s="1">
        <v>-1617000</v>
      </c>
      <c r="I95" s="1">
        <v>-1929000</v>
      </c>
      <c r="J95" s="1" t="s">
        <v>92</v>
      </c>
      <c r="K95" s="1" t="s">
        <v>92</v>
      </c>
      <c r="L95" s="1" t="s">
        <v>92</v>
      </c>
      <c r="M95" s="1" t="s">
        <v>92</v>
      </c>
      <c r="T95" s="42" t="s">
        <v>137</v>
      </c>
      <c r="U95" s="43">
        <v>1.24</v>
      </c>
    </row>
    <row r="96" spans="1:21" ht="20" x14ac:dyDescent="0.25">
      <c r="A96" s="5" t="s">
        <v>81</v>
      </c>
      <c r="B96" s="1">
        <v>4203000</v>
      </c>
      <c r="C96" s="1" t="s">
        <v>92</v>
      </c>
      <c r="D96" s="1" t="s">
        <v>92</v>
      </c>
      <c r="E96" s="1">
        <v>239315000</v>
      </c>
      <c r="F96" s="1" t="s">
        <v>92</v>
      </c>
      <c r="G96" s="1" t="s">
        <v>92</v>
      </c>
      <c r="H96" s="1" t="s">
        <v>92</v>
      </c>
      <c r="I96" s="1" t="s">
        <v>92</v>
      </c>
      <c r="J96" s="1" t="s">
        <v>92</v>
      </c>
      <c r="K96" s="1" t="s">
        <v>92</v>
      </c>
      <c r="L96" s="1">
        <v>67245000</v>
      </c>
      <c r="M96" s="1">
        <v>48411000</v>
      </c>
      <c r="T96" s="23" t="s">
        <v>138</v>
      </c>
      <c r="U96" s="41">
        <v>8.4000000000000005E-2</v>
      </c>
    </row>
    <row r="97" spans="1:21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>
        <v>-261000</v>
      </c>
      <c r="G97" s="1" t="s">
        <v>92</v>
      </c>
      <c r="H97" s="1" t="s">
        <v>92</v>
      </c>
      <c r="I97" s="1" t="s">
        <v>92</v>
      </c>
      <c r="J97" s="1">
        <v>-266142000</v>
      </c>
      <c r="K97" s="1">
        <v>-395173000</v>
      </c>
      <c r="L97" s="1">
        <v>-411645000</v>
      </c>
      <c r="M97" s="1">
        <v>-670287000</v>
      </c>
      <c r="T97" s="39" t="s">
        <v>139</v>
      </c>
      <c r="U97" s="40">
        <f>(U94)+((U95)*(U96-U94))</f>
        <v>9.4331999999999999E-2</v>
      </c>
    </row>
    <row r="98" spans="1:21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T98" s="35" t="s">
        <v>140</v>
      </c>
      <c r="U98" s="36"/>
    </row>
    <row r="99" spans="1:21" ht="20" x14ac:dyDescent="0.25">
      <c r="A99" s="5" t="s">
        <v>84</v>
      </c>
      <c r="B99" s="1">
        <v>97857000</v>
      </c>
      <c r="C99" s="1">
        <v>3977000</v>
      </c>
      <c r="D99" s="1">
        <v>9886000</v>
      </c>
      <c r="E99" s="1">
        <v>42815000</v>
      </c>
      <c r="F99" s="1">
        <v>64452000</v>
      </c>
      <c r="G99" s="1">
        <v>76936000</v>
      </c>
      <c r="H99" s="1">
        <v>53086000</v>
      </c>
      <c r="I99" s="1">
        <v>44780000</v>
      </c>
      <c r="J99" s="1">
        <v>48178000</v>
      </c>
      <c r="K99" s="1">
        <v>48834000</v>
      </c>
      <c r="L99" s="1">
        <v>-16482000</v>
      </c>
      <c r="M99" s="1">
        <v>-32725000</v>
      </c>
      <c r="T99" s="23" t="s">
        <v>141</v>
      </c>
      <c r="U99" s="24">
        <f>U86+U87</f>
        <v>43964000</v>
      </c>
    </row>
    <row r="100" spans="1:21" ht="20" x14ac:dyDescent="0.25">
      <c r="A100" s="6" t="s">
        <v>85</v>
      </c>
      <c r="B100" s="10">
        <v>46505000</v>
      </c>
      <c r="C100" s="10">
        <v>3977000</v>
      </c>
      <c r="D100" s="10">
        <v>9886000</v>
      </c>
      <c r="E100" s="10">
        <v>261337000</v>
      </c>
      <c r="F100" s="10">
        <v>63105000</v>
      </c>
      <c r="G100" s="10">
        <v>75600000</v>
      </c>
      <c r="H100" s="10">
        <v>51469000</v>
      </c>
      <c r="I100" s="10">
        <v>42851000</v>
      </c>
      <c r="J100" s="10">
        <v>-217964000</v>
      </c>
      <c r="K100" s="10">
        <v>-346339000</v>
      </c>
      <c r="L100" s="10">
        <v>-360882000</v>
      </c>
      <c r="M100" s="10">
        <v>-654601000</v>
      </c>
      <c r="T100" s="37" t="s">
        <v>142</v>
      </c>
      <c r="U100" s="38">
        <f>U99/U103</f>
        <v>8.5021850544035626E-4</v>
      </c>
    </row>
    <row r="101" spans="1:21" ht="20" x14ac:dyDescent="0.25">
      <c r="A101" s="5" t="s">
        <v>86</v>
      </c>
      <c r="B101" s="1">
        <v>-18000</v>
      </c>
      <c r="C101" s="1">
        <v>-1000</v>
      </c>
      <c r="D101" s="1">
        <v>-34000</v>
      </c>
      <c r="E101" s="1">
        <v>-124000</v>
      </c>
      <c r="F101" s="1">
        <v>-513000</v>
      </c>
      <c r="G101" s="1">
        <v>-464000</v>
      </c>
      <c r="H101" s="1">
        <v>753000</v>
      </c>
      <c r="I101" s="1">
        <v>-1390000</v>
      </c>
      <c r="J101" s="1">
        <v>353000</v>
      </c>
      <c r="K101" s="1">
        <v>1966000</v>
      </c>
      <c r="L101" s="1">
        <v>-1816000</v>
      </c>
      <c r="M101" s="1">
        <v>-3611000</v>
      </c>
      <c r="T101" s="42" t="s">
        <v>143</v>
      </c>
      <c r="U101" s="44">
        <f>O116*M34</f>
        <v>51665096340</v>
      </c>
    </row>
    <row r="102" spans="1:21" ht="20" x14ac:dyDescent="0.25">
      <c r="A102" s="6" t="s">
        <v>87</v>
      </c>
      <c r="B102" s="10">
        <v>56147000</v>
      </c>
      <c r="C102" s="10">
        <v>17930000</v>
      </c>
      <c r="D102" s="10">
        <v>25009000</v>
      </c>
      <c r="E102" s="10">
        <v>126367000</v>
      </c>
      <c r="F102" s="10">
        <v>447295000</v>
      </c>
      <c r="G102" s="10">
        <v>-119403000</v>
      </c>
      <c r="H102" s="10">
        <v>291269000</v>
      </c>
      <c r="I102" s="10">
        <v>-210533000</v>
      </c>
      <c r="J102" s="10">
        <v>461351000</v>
      </c>
      <c r="K102" s="10">
        <v>-218061000</v>
      </c>
      <c r="L102" s="10">
        <v>-272404000</v>
      </c>
      <c r="M102" s="10">
        <v>50928000</v>
      </c>
      <c r="T102" s="37" t="s">
        <v>144</v>
      </c>
      <c r="U102" s="38">
        <f>U101/U103</f>
        <v>0.99914978149455969</v>
      </c>
    </row>
    <row r="103" spans="1:21" ht="20" x14ac:dyDescent="0.25">
      <c r="A103" s="5" t="s">
        <v>88</v>
      </c>
      <c r="B103" s="1">
        <v>14578000</v>
      </c>
      <c r="C103" s="1">
        <v>70725000</v>
      </c>
      <c r="D103" s="1">
        <v>88655000</v>
      </c>
      <c r="E103" s="1">
        <v>113664000</v>
      </c>
      <c r="F103" s="1">
        <v>240031000</v>
      </c>
      <c r="G103" s="1">
        <v>687326000</v>
      </c>
      <c r="H103" s="1">
        <v>567923000</v>
      </c>
      <c r="I103" s="1">
        <v>864697000</v>
      </c>
      <c r="J103" s="1">
        <v>654164000</v>
      </c>
      <c r="K103" s="1">
        <v>1115515000</v>
      </c>
      <c r="L103" s="1">
        <v>897454000</v>
      </c>
      <c r="M103" s="1">
        <v>625050000</v>
      </c>
      <c r="T103" s="39" t="s">
        <v>145</v>
      </c>
      <c r="U103" s="45">
        <f>U99+U101</f>
        <v>51709060340</v>
      </c>
    </row>
    <row r="104" spans="1:21" ht="19" x14ac:dyDescent="0.25">
      <c r="A104" s="7" t="s">
        <v>89</v>
      </c>
      <c r="B104" s="11">
        <v>70725000</v>
      </c>
      <c r="C104" s="11">
        <v>88655000</v>
      </c>
      <c r="D104" s="11">
        <v>113664000</v>
      </c>
      <c r="E104" s="11">
        <v>240031000</v>
      </c>
      <c r="F104" s="11">
        <v>687326000</v>
      </c>
      <c r="G104" s="11">
        <v>567923000</v>
      </c>
      <c r="H104" s="11">
        <v>859192000</v>
      </c>
      <c r="I104" s="11">
        <v>654164000</v>
      </c>
      <c r="J104" s="11">
        <v>1115515000</v>
      </c>
      <c r="K104" s="11">
        <v>897454000</v>
      </c>
      <c r="L104" s="11">
        <v>625050000</v>
      </c>
      <c r="M104" s="11">
        <v>675978000</v>
      </c>
      <c r="T104" s="35" t="s">
        <v>146</v>
      </c>
      <c r="U104" s="36"/>
    </row>
    <row r="105" spans="1:21" ht="20" x14ac:dyDescent="0.25">
      <c r="A105" s="14" t="s">
        <v>108</v>
      </c>
      <c r="B105" s="1"/>
      <c r="C105" s="15">
        <f>(C106/B106)-1</f>
        <v>1.3803312629399587</v>
      </c>
      <c r="D105" s="15">
        <f>(D106/C106)-1</f>
        <v>-0.37670696703487871</v>
      </c>
      <c r="E105" s="15">
        <f>(E106/D106)-1</f>
        <v>6.0738208205414459</v>
      </c>
      <c r="F105" s="15">
        <f>(F106/E106)-1</f>
        <v>0.78082894399400282</v>
      </c>
      <c r="G105" s="15">
        <f>(G106/F106)-1</f>
        <v>-0.39061392236795467</v>
      </c>
      <c r="H105" s="15">
        <f t="shared" ref="H105:Q105" si="8">(H106/G106)-1</f>
        <v>4.6020941456631004</v>
      </c>
      <c r="I105" s="15">
        <f t="shared" si="8"/>
        <v>-0.22237275045915617</v>
      </c>
      <c r="J105" s="15">
        <f t="shared" si="8"/>
        <v>0.97643384262939481</v>
      </c>
      <c r="K105" s="15">
        <f t="shared" si="8"/>
        <v>-0.24021649285377233</v>
      </c>
      <c r="L105" s="15">
        <f t="shared" si="8"/>
        <v>0.32149556083531317</v>
      </c>
      <c r="M105" s="15">
        <f t="shared" si="8"/>
        <v>-0.52879867945159398</v>
      </c>
      <c r="N105" s="15"/>
      <c r="O105" s="15"/>
      <c r="P105" s="15"/>
      <c r="Q105" s="15"/>
      <c r="R105" s="15"/>
      <c r="S105" s="15"/>
      <c r="T105" s="25" t="s">
        <v>109</v>
      </c>
      <c r="U105" s="26">
        <f>(U100*U92)+(U102*U97)</f>
        <v>9.4251797187944797E-2</v>
      </c>
    </row>
    <row r="106" spans="1:21" ht="19" x14ac:dyDescent="0.25">
      <c r="A106" s="5" t="s">
        <v>90</v>
      </c>
      <c r="B106" s="1">
        <v>9660000</v>
      </c>
      <c r="C106" s="1">
        <v>22994000</v>
      </c>
      <c r="D106" s="1">
        <v>14332000</v>
      </c>
      <c r="E106" s="1">
        <v>101382000</v>
      </c>
      <c r="F106" s="1">
        <v>180544000</v>
      </c>
      <c r="G106" s="1">
        <v>110021000</v>
      </c>
      <c r="H106" s="1">
        <v>616348000</v>
      </c>
      <c r="I106" s="1">
        <v>479289000</v>
      </c>
      <c r="J106" s="1">
        <v>947283000</v>
      </c>
      <c r="K106" s="1">
        <v>719730000</v>
      </c>
      <c r="L106" s="1">
        <v>951120000</v>
      </c>
      <c r="M106" s="1">
        <v>448169000</v>
      </c>
      <c r="N106" s="46">
        <f>M106*(1+$U$106)</f>
        <v>501428156.39688659</v>
      </c>
      <c r="O106" s="46">
        <f t="shared" ref="O106:R106" si="9">N106*(1+$U$106)</f>
        <v>561016482.68305159</v>
      </c>
      <c r="P106" s="46">
        <f t="shared" si="9"/>
        <v>627686119.78969634</v>
      </c>
      <c r="Q106" s="46">
        <f t="shared" si="9"/>
        <v>702278590.98255956</v>
      </c>
      <c r="R106" s="46">
        <f t="shared" si="9"/>
        <v>785735423.8097415</v>
      </c>
      <c r="S106" s="47" t="s">
        <v>147</v>
      </c>
      <c r="T106" s="48" t="s">
        <v>148</v>
      </c>
      <c r="U106" s="49">
        <f>(SUM(N4:R4)/5)</f>
        <v>0.11883721631100456</v>
      </c>
    </row>
    <row r="107" spans="1:21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47"/>
      <c r="O107" s="47"/>
      <c r="P107" s="47"/>
      <c r="Q107" s="47"/>
      <c r="R107" s="50">
        <f>R106*(1+U107)/(U108-U107)</f>
        <v>11629717091.951275</v>
      </c>
      <c r="S107" s="51" t="s">
        <v>149</v>
      </c>
      <c r="T107" s="52" t="s">
        <v>150</v>
      </c>
      <c r="U107" s="53">
        <v>2.5000000000000001E-2</v>
      </c>
    </row>
    <row r="108" spans="1:21" ht="19" x14ac:dyDescent="0.25">
      <c r="N108" s="50">
        <f t="shared" ref="N108:P108" si="10">N107+N106</f>
        <v>501428156.39688659</v>
      </c>
      <c r="O108" s="50">
        <f t="shared" si="10"/>
        <v>561016482.68305159</v>
      </c>
      <c r="P108" s="50">
        <f t="shared" si="10"/>
        <v>627686119.78969634</v>
      </c>
      <c r="Q108" s="50">
        <f>Q107+Q106</f>
        <v>702278590.98255956</v>
      </c>
      <c r="R108" s="50">
        <f>R107+R106</f>
        <v>12415452515.761017</v>
      </c>
      <c r="S108" s="51" t="s">
        <v>145</v>
      </c>
      <c r="T108" s="54" t="s">
        <v>151</v>
      </c>
      <c r="U108" s="55">
        <f>U105</f>
        <v>9.4251797187944797E-2</v>
      </c>
    </row>
    <row r="109" spans="1:21" ht="19" x14ac:dyDescent="0.25">
      <c r="N109" s="56" t="s">
        <v>152</v>
      </c>
      <c r="O109" s="57"/>
    </row>
    <row r="110" spans="1:21" ht="20" x14ac:dyDescent="0.25">
      <c r="N110" s="58" t="s">
        <v>153</v>
      </c>
      <c r="O110" s="59">
        <f>NPV(U108,N108,O108,P108,Q108,R108)</f>
        <v>9809296113.8834515</v>
      </c>
    </row>
    <row r="111" spans="1:21" ht="20" x14ac:dyDescent="0.25">
      <c r="N111" s="58" t="s">
        <v>154</v>
      </c>
      <c r="O111" s="59">
        <f>M40</f>
        <v>3023729000</v>
      </c>
    </row>
    <row r="112" spans="1:21" ht="20" x14ac:dyDescent="0.25">
      <c r="N112" s="58" t="s">
        <v>141</v>
      </c>
      <c r="O112" s="59">
        <f>U99</f>
        <v>43964000</v>
      </c>
    </row>
    <row r="113" spans="14:15" ht="20" x14ac:dyDescent="0.25">
      <c r="N113" s="58" t="s">
        <v>155</v>
      </c>
      <c r="O113" s="59">
        <f>O110+O111-O112</f>
        <v>12789061113.883451</v>
      </c>
    </row>
    <row r="114" spans="14:15" ht="20" x14ac:dyDescent="0.25">
      <c r="N114" s="58" t="s">
        <v>156</v>
      </c>
      <c r="O114" s="60">
        <f>M34*(1+(5*S16))</f>
        <v>317149582.85227799</v>
      </c>
    </row>
    <row r="115" spans="14:15" ht="20" x14ac:dyDescent="0.25">
      <c r="N115" s="61" t="s">
        <v>157</v>
      </c>
      <c r="O115" s="62">
        <f>O113/O114</f>
        <v>40.325013196818055</v>
      </c>
    </row>
    <row r="116" spans="14:15" ht="20" x14ac:dyDescent="0.25">
      <c r="N116" s="63" t="s">
        <v>158</v>
      </c>
      <c r="O116" s="64">
        <v>163.26</v>
      </c>
    </row>
    <row r="117" spans="14:15" ht="20" x14ac:dyDescent="0.25">
      <c r="N117" s="65" t="s">
        <v>159</v>
      </c>
      <c r="O117" s="66">
        <f>O115/O116-1</f>
        <v>-0.75300126671065748</v>
      </c>
    </row>
    <row r="118" spans="14:15" ht="20" x14ac:dyDescent="0.25">
      <c r="N118" s="65" t="s">
        <v>160</v>
      </c>
      <c r="O118" s="67" t="str">
        <f>IF(O115&gt;O116,"BUY","SELL")</f>
        <v>SELL</v>
      </c>
    </row>
  </sheetData>
  <mergeCells count="6">
    <mergeCell ref="T83:U83"/>
    <mergeCell ref="T84:U84"/>
    <mergeCell ref="T93:U93"/>
    <mergeCell ref="T98:U98"/>
    <mergeCell ref="T104:U104"/>
    <mergeCell ref="N109:O109"/>
  </mergeCells>
  <hyperlinks>
    <hyperlink ref="A1" r:id="rId1" tooltip="https://roic.ai/company/ANET" display="ROIC.AI | ANET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www.sec.gov/Archives/edgar/data/1596532/000159653215000004/anet20141231-10k.htm" xr:uid="{00000000-0004-0000-0000-00000A000000}"/>
    <hyperlink ref="E74" r:id="rId9" tooltip="https://www.sec.gov/Archives/edgar/data/1596532/000159653215000004/anet20141231-10k.htm" xr:uid="{00000000-0004-0000-0000-00000B000000}"/>
    <hyperlink ref="F36" r:id="rId10" tooltip="https://www.sec.gov/Archives/edgar/data/1596532/000159653216000244/0001596532-16-000244-index.html" xr:uid="{00000000-0004-0000-0000-00000D000000}"/>
    <hyperlink ref="F74" r:id="rId11" tooltip="https://www.sec.gov/Archives/edgar/data/1596532/000159653216000244/0001596532-16-000244-index.html" xr:uid="{00000000-0004-0000-0000-00000E000000}"/>
    <hyperlink ref="G36" r:id="rId12" tooltip="https://www.sec.gov/Archives/edgar/data/1596532/000159653217000019/0001596532-17-000019-index.html" xr:uid="{00000000-0004-0000-0000-000010000000}"/>
    <hyperlink ref="G74" r:id="rId13" tooltip="https://www.sec.gov/Archives/edgar/data/1596532/000159653217000019/0001596532-17-000019-index.html" xr:uid="{00000000-0004-0000-0000-000011000000}"/>
    <hyperlink ref="H36" r:id="rId14" tooltip="https://www.sec.gov/Archives/edgar/data/1596532/000159653218000018/0001596532-18-000018-index.html" xr:uid="{00000000-0004-0000-0000-000013000000}"/>
    <hyperlink ref="H74" r:id="rId15" tooltip="https://www.sec.gov/Archives/edgar/data/1596532/000159653218000018/0001596532-18-000018-index.html" xr:uid="{00000000-0004-0000-0000-000014000000}"/>
    <hyperlink ref="I36" r:id="rId16" tooltip="https://www.sec.gov/Archives/edgar/data/1596532/000159653219000027/0001596532-19-000027-index.html" xr:uid="{00000000-0004-0000-0000-000016000000}"/>
    <hyperlink ref="I74" r:id="rId17" tooltip="https://www.sec.gov/Archives/edgar/data/1596532/000159653219000027/0001596532-19-000027-index.html" xr:uid="{00000000-0004-0000-0000-000017000000}"/>
    <hyperlink ref="J36" r:id="rId18" tooltip="https://www.sec.gov/Archives/edgar/data/1596532/000159653220000024/0001596532-20-000024-index.html" xr:uid="{00000000-0004-0000-0000-000019000000}"/>
    <hyperlink ref="J74" r:id="rId19" tooltip="https://www.sec.gov/Archives/edgar/data/1596532/000159653220000024/0001596532-20-000024-index.html" xr:uid="{00000000-0004-0000-0000-00001A000000}"/>
    <hyperlink ref="K36" r:id="rId20" tooltip="https://www.sec.gov/Archives/edgar/data/1596532/000159653221000049/0001596532-21-000049-index.htm" xr:uid="{00000000-0004-0000-0000-00001C000000}"/>
    <hyperlink ref="K74" r:id="rId21" tooltip="https://www.sec.gov/Archives/edgar/data/1596532/000159653221000049/0001596532-21-000049-index.htm" xr:uid="{00000000-0004-0000-0000-00001D000000}"/>
    <hyperlink ref="L36" r:id="rId22" tooltip="https://www.sec.gov/Archives/edgar/data/1596532/000159653222000026/0001596532-22-000026-index.htm" xr:uid="{00000000-0004-0000-0000-00001F000000}"/>
    <hyperlink ref="L74" r:id="rId23" tooltip="https://www.sec.gov/Archives/edgar/data/1596532/000159653222000026/0001596532-22-000026-index.htm" xr:uid="{00000000-0004-0000-0000-000020000000}"/>
    <hyperlink ref="M36" r:id="rId24" tooltip="https://www.sec.gov/Archives/edgar/data/1596532/000159653223000016/0001596532-23-000016-index.htm" xr:uid="{00000000-0004-0000-0000-000022000000}"/>
    <hyperlink ref="M74" r:id="rId25" tooltip="https://www.sec.gov/Archives/edgar/data/1596532/000159653223000016/0001596532-23-000016-index.htm" xr:uid="{00000000-0004-0000-0000-000023000000}"/>
    <hyperlink ref="N1" r:id="rId26" display="https://finbox.com/NYSE:ANET/explorer/revenue_proj" xr:uid="{8480DC83-F966-BD43-B946-7AF8DCAE7DBD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2023-03-13T22:03:17Z</dcterms:created>
  <dcterms:modified xsi:type="dcterms:W3CDTF">2023-03-19T03:23:18Z</dcterms:modified>
</cp:coreProperties>
</file>