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15626DF6-F902-924C-90F3-22620580A6F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8" i="1" l="1"/>
  <c r="Y108" i="1"/>
  <c r="Z108" i="1"/>
  <c r="AA108" i="1"/>
  <c r="B105" i="1"/>
  <c r="C105" i="1"/>
  <c r="D105" i="1"/>
  <c r="E105" i="1"/>
  <c r="F105" i="1"/>
  <c r="G105" i="1"/>
  <c r="H105" i="1"/>
  <c r="I105" i="1"/>
  <c r="J105" i="1"/>
  <c r="K105" i="1"/>
  <c r="L105" i="1"/>
  <c r="M105" i="1"/>
  <c r="N105" i="1"/>
  <c r="O105" i="1"/>
  <c r="P105" i="1"/>
  <c r="Q105" i="1"/>
  <c r="R105" i="1"/>
  <c r="S105" i="1"/>
  <c r="T105" i="1"/>
  <c r="U105" i="1"/>
  <c r="V105" i="1"/>
  <c r="W105" i="1"/>
  <c r="Y30" i="1"/>
  <c r="Z30" i="1"/>
  <c r="AA30" i="1"/>
  <c r="AB30" i="1"/>
  <c r="X30" i="1"/>
  <c r="X29" i="1"/>
  <c r="Y29" i="1"/>
  <c r="Z29" i="1"/>
  <c r="AA29" i="1"/>
  <c r="AB29" i="1"/>
  <c r="Y21" i="1"/>
  <c r="Z21" i="1"/>
  <c r="AA21" i="1"/>
  <c r="AB21" i="1"/>
  <c r="X21" i="1"/>
  <c r="X20" i="1"/>
  <c r="Y20" i="1"/>
  <c r="Z20" i="1"/>
  <c r="AA20" i="1"/>
  <c r="AB20" i="1"/>
  <c r="W80" i="1"/>
  <c r="W89" i="1"/>
  <c r="W106" i="1"/>
  <c r="Y116" i="1" a="1"/>
  <c r="Y116" i="1" s="1"/>
  <c r="AE101" i="1" a="1"/>
  <c r="AE101" i="1" s="1"/>
  <c r="AE95" i="1" a="1"/>
  <c r="AE95" i="1" s="1"/>
  <c r="Y114" i="1"/>
  <c r="AC19" i="1"/>
  <c r="AC16" i="1"/>
  <c r="AF13" i="1"/>
  <c r="AE13" i="1"/>
  <c r="AD13" i="1"/>
  <c r="AC13" i="1"/>
  <c r="AF10" i="1"/>
  <c r="AE10" i="1"/>
  <c r="AD10" i="1"/>
  <c r="AC10" i="1"/>
  <c r="AF7" i="1"/>
  <c r="AE7" i="1"/>
  <c r="AD7" i="1"/>
  <c r="AC7" i="1"/>
  <c r="AE4" i="1"/>
  <c r="AD4" i="1"/>
  <c r="AC4" i="1"/>
  <c r="H35" i="1"/>
  <c r="I35" i="1"/>
  <c r="J35" i="1"/>
  <c r="K35" i="1"/>
  <c r="L35" i="1"/>
  <c r="M35" i="1"/>
  <c r="N35" i="1"/>
  <c r="O35" i="1"/>
  <c r="P35" i="1"/>
  <c r="Q35" i="1"/>
  <c r="R35" i="1"/>
  <c r="S35" i="1"/>
  <c r="T35" i="1"/>
  <c r="U35" i="1"/>
  <c r="V35" i="1"/>
  <c r="W35" i="1"/>
  <c r="G35" i="1"/>
  <c r="F35" i="1"/>
  <c r="E35" i="1"/>
  <c r="D35" i="1"/>
  <c r="C35" i="1"/>
  <c r="Y111" i="1"/>
  <c r="AB4" i="1"/>
  <c r="AA4" i="1"/>
  <c r="AE86" i="1"/>
  <c r="AE99" i="1" s="1"/>
  <c r="Y112" i="1" s="1"/>
  <c r="AE90" i="1"/>
  <c r="AE91" i="1" s="1"/>
  <c r="AE89" i="1"/>
  <c r="AE87" i="1"/>
  <c r="AE85"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9" i="1" l="1"/>
  <c r="AF22" i="1"/>
  <c r="AE22" i="1"/>
  <c r="AD19" i="1"/>
  <c r="AE106" i="1"/>
  <c r="X105" i="1" s="1"/>
  <c r="Y105" i="1" s="1"/>
  <c r="Z105" i="1" s="1"/>
  <c r="AA105" i="1" s="1"/>
  <c r="AB105" i="1" s="1"/>
  <c r="AD16" i="1"/>
  <c r="AF16" i="1"/>
  <c r="AE16" i="1"/>
  <c r="AE88" i="1"/>
  <c r="AE92" i="1" s="1"/>
  <c r="AE103" i="1"/>
  <c r="AE102" i="1" s="1"/>
  <c r="AF19" i="1" l="1"/>
  <c r="AE100" i="1"/>
  <c r="AE94" i="1" l="1"/>
  <c r="AE97" i="1" s="1"/>
  <c r="AE105" i="1" s="1"/>
  <c r="AE108" i="1" s="1"/>
  <c r="AB107" i="1" s="1"/>
  <c r="AB108" i="1" s="1"/>
  <c r="Y110" i="1" s="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<sst xmlns="http://schemas.openxmlformats.org/spreadsheetml/2006/main" count="598" uniqueCount="166">
  <si>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</si>
  <si>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</si>
  <si>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</si>
  <si>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</si>
  <si>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</si>
  <si>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</si>
  <si>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</si>
  <si>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</si>
  <si>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</si>
  <si>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</si>
  <si>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</si>
  <si>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</si>
  <si>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</si>
  <si>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</si>
  <si>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</si>
  <si>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</si>
  <si>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</si>
  <si>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</si>
  <si>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</si>
  <si>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</si>
  <si>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</si>
  <si>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</si>
  <si>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</si>
  <si>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</si>
  <si>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</si>
  <si>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</si>
  <si>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</si>
  <si>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</si>
  <si>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</si>
  <si>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</si>
  <si>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</si>
  <si>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</si>
  <si>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</si>
  <si>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</si>
  <si>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</si>
  <si>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</si>
  <si>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</si>
  <si>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</si>
  <si>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</si>
  <si>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</si>
  <si>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</si>
  <si>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</si>
  <si>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</si>
  <si>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</si>
  <si>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</si>
  <si>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</si>
  <si>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</si>
  <si>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</si>
  <si>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</si>
  <si>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</si>
  <si>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</si>
  <si>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</si>
  <si>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</si>
  <si>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</si>
  <si>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</si>
  <si>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</si>
  <si>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</si>
  <si>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</si>
  <si>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</si>
  <si>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</si>
  <si>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</si>
  <si>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</si>
  <si>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</si>
  <si>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</si>
  <si>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</si>
  <si>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</si>
  <si>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</si>
  <si>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</si>
  <si>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</si>
  <si>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</si>
  <si>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</si>
  <si>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</si>
  <si>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</si>
  <si>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</si>
  <si>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</si>
  <si>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</si>
  <si>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</si>
  <si>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</si>
  <si>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</si>
  <si>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</si>
  <si>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</si>
  <si>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</si>
  <si>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</si>
  <si>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</si>
  <si>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</si>
  <si>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</si>
  <si>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</si>
  <si>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</si>
  <si>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</si>
  <si>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</si>
  <si>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</si>
  <si>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</si>
  <si>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</si>
  <si>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</si>
  <si>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</si>
  <si>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</si>
  <si>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</si>
  <si>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</si>
  <si>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</si>
  <si>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</si>
  <si>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</si>
  <si>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</si>
  <si>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</si>
  <si>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</si>
  <si>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</si>
  <si>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</si>
  <si>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</si>
  <si>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</si>
  <si>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</si>
  <si>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</si>
  <si>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</si>
  <si>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</si>
  <si>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</si>
  <si>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</si>
  <si>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</si>
  <si>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</si>
  <si>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</si>
  <si>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</si>
  <si>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</si>
  <si>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</si>
  <si>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</si>
  <si>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</si>
  <si>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</si>
  <si>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</si>
  <si>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</si>
  <si>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</si>
  <si>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</si>
  <si>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</si>
  <si>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</si>
  <si>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</si>
  <si>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</si>
  <si>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</si>
  <si>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</si>
  <si>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</si>
  <si>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</si>
  <si>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</si>
  <si>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</si>
  <si>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</si>
  <si>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</si>
  <si>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</si>
  <si>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</si>
  <si>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</si>
  <si>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</si>
  <si>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</si>
  <si>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</si>
  <si>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</si>
  <si>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</si>
  <si>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</si>
  <si>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</si>
  <si>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</si>
  <si>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</si>
  <si>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YoY</t>
  </si>
  <si>
    <t>Share Dilution (5yr)</t>
  </si>
  <si>
    <t>P/S</t>
  </si>
  <si>
    <t>P/E</t>
  </si>
  <si>
    <t>P/FCF</t>
  </si>
  <si>
    <t>Net Cash</t>
  </si>
  <si>
    <t>Forward P/S</t>
  </si>
  <si>
    <t>Forward P/E</t>
  </si>
  <si>
    <t>Forward P/FCF</t>
  </si>
  <si>
    <t>Levered FCF</t>
  </si>
  <si>
    <t>Unlevered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</si>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</sst>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37" fontId="1" fillId="0" borderId="0" xfId="0" applyNumberFormat="1" applyFont="1"/>
    <xf numFmtId="164" fontId="9" fillId="5" borderId="0" xfId="0" applyNumberFormat="1" applyFont="1" applyFill="1"/>
    <xf numFmtId="0" fontId="0" fillId="5" borderId="0" xfId="0" applyFill="1"/>
    <xf numFmtId="0" fontId="0" fillId="5" borderId="0" xfId="0" applyFill="1" applyAlignment="1">
      <alignment horizontal="left"/>
    </xf>
    <xf numFmtId="10"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0"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164" fontId="9" fillId="6" borderId="0" xfId="0" applyNumberFormat="1" applyFont="1" applyFill="1"/>
    <xf numFmtId="164" fontId="1" fillId="6"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7" xfId="0" applyNumberFormat="1" applyFont="1" applyBorder="1" applyAlignment="1">
      <alignment horizontal="center"/>
    </xf>
    <xf numFmtId="0" fontId="12" fillId="4" borderId="0" xfId="0" applyFont="1" applyFill="1" applyAlignment="1">
      <alignment horizontal="center" vertical="center" wrapText="1"/>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7"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3" fillId="3" borderId="0" xfId="0" applyFont="1" applyFill="1" applyAlignment="1">
      <alignment horizontal="center"/>
    </xf>
    <xf numFmtId="0" fontId="14"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400"/>
              <a:t>Louis Vuitton Moet Hennessy</a:t>
            </a:r>
          </a:p>
        </c:rich>
      </c:tx>
      <c:layout>
        <c:manualLayout>
          <c:xMode val="edge"/>
          <c:yMode val="edge"/>
          <c:x val="0.30478048982379174"/>
          <c:y val="2.4258788517577037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8510334996436"/>
          <c:y val="0.1460377358490566"/>
          <c:w val="0.84554526015680675"/>
          <c:h val="0.682323557980449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numCache>
            </c:numRef>
          </c:val>
          <c:extLst>
            <c:ext xmlns:c16="http://schemas.microsoft.com/office/drawing/2014/chart" uri="{C3380CC4-5D6E-409C-BE32-E72D297353CC}">
              <c16:uniqueId val="{00000000-B579-8848-B21B-C8A31328F6A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2017000000</c:v>
                </c:pt>
                <c:pt idx="1">
                  <c:v>2219000000</c:v>
                </c:pt>
                <c:pt idx="2">
                  <c:v>2358000000</c:v>
                </c:pt>
                <c:pt idx="3">
                  <c:v>2481000000</c:v>
                </c:pt>
                <c:pt idx="4">
                  <c:v>3213000000</c:v>
                </c:pt>
                <c:pt idx="5">
                  <c:v>3654000000</c:v>
                </c:pt>
                <c:pt idx="6">
                  <c:v>4029000000</c:v>
                </c:pt>
                <c:pt idx="7">
                  <c:v>4163000000</c:v>
                </c:pt>
                <c:pt idx="8">
                  <c:v>3835000000</c:v>
                </c:pt>
                <c:pt idx="9">
                  <c:v>5727000000</c:v>
                </c:pt>
                <c:pt idx="10">
                  <c:v>6068000000</c:v>
                </c:pt>
                <c:pt idx="11">
                  <c:v>6707000000</c:v>
                </c:pt>
                <c:pt idx="12">
                  <c:v>6783000000</c:v>
                </c:pt>
                <c:pt idx="13">
                  <c:v>9960000000</c:v>
                </c:pt>
                <c:pt idx="14">
                  <c:v>7734000000</c:v>
                </c:pt>
                <c:pt idx="15">
                  <c:v>8325000000</c:v>
                </c:pt>
                <c:pt idx="16">
                  <c:v>9932000000</c:v>
                </c:pt>
                <c:pt idx="17">
                  <c:v>11313000000</c:v>
                </c:pt>
                <c:pt idx="18">
                  <c:v>15657000000</c:v>
                </c:pt>
                <c:pt idx="19">
                  <c:v>13527000000</c:v>
                </c:pt>
                <c:pt idx="20">
                  <c:v>22618000000</c:v>
                </c:pt>
                <c:pt idx="21">
                  <c:v>26054000000</c:v>
                </c:pt>
              </c:numCache>
            </c:numRef>
          </c:val>
          <c:extLst>
            <c:ext xmlns:c16="http://schemas.microsoft.com/office/drawing/2014/chart" uri="{C3380CC4-5D6E-409C-BE32-E72D297353CC}">
              <c16:uniqueId val="{00000001-B579-8848-B21B-C8A31328F6A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1'!$B$107:$W$107</c:f>
              <c:numCache>
                <c:formatCode>#,###,,;\(#,###,,\);\ \-\ \-</c:formatCode>
                <c:ptCount val="22"/>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numCache>
            </c:numRef>
          </c:val>
          <c:extLst>
            <c:ext xmlns:c16="http://schemas.microsoft.com/office/drawing/2014/chart" uri="{C3380CC4-5D6E-409C-BE32-E72D297353CC}">
              <c16:uniqueId val="{00000002-B579-8848-B21B-C8A31328F6A9}"/>
            </c:ext>
          </c:extLst>
        </c:ser>
        <c:dLbls>
          <c:showLegendKey val="0"/>
          <c:showVal val="0"/>
          <c:showCatName val="0"/>
          <c:showSerName val="0"/>
          <c:showPercent val="0"/>
          <c:showBubbleSize val="0"/>
        </c:dLbls>
        <c:gapWidth val="100"/>
        <c:overlap val="-24"/>
        <c:axId val="1620210655"/>
        <c:axId val="1620646591"/>
      </c:barChart>
      <c:catAx>
        <c:axId val="1620210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0646591"/>
        <c:crosses val="autoZero"/>
        <c:auto val="1"/>
        <c:lblAlgn val="ctr"/>
        <c:lblOffset val="100"/>
        <c:noMultiLvlLbl val="0"/>
      </c:catAx>
      <c:valAx>
        <c:axId val="16206465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0210655"/>
        <c:crosses val="autoZero"/>
        <c:crossBetween val="between"/>
      </c:valAx>
      <c:spPr>
        <a:noFill/>
        <a:ln>
          <a:noFill/>
        </a:ln>
        <a:effectLst/>
      </c:spPr>
    </c:plotArea>
    <c:legend>
      <c:legendPos val="b"/>
      <c:layout>
        <c:manualLayout>
          <c:xMode val="edge"/>
          <c:yMode val="edge"/>
          <c:x val="0.33082785808147175"/>
          <c:y val="0.89844214355095398"/>
          <c:w val="0.38110977040200694"/>
          <c:h val="5.93631430786177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34924</xdr:colOff>
      <xdr:row>108</xdr:row>
      <xdr:rowOff>12700</xdr:rowOff>
    </xdr:from>
    <xdr:to>
      <xdr:col>31</xdr:col>
      <xdr:colOff>15874</xdr:colOff>
      <xdr:row>129</xdr:row>
      <xdr:rowOff>57150</xdr:rowOff>
    </xdr:to>
    <xdr:graphicFrame macro="">
      <xdr:nvGraphicFramePr>
        <xdr:cNvPr id="2" name="Chart 1">
          <a:extLst>
            <a:ext uri="{FF2B5EF4-FFF2-40B4-BE49-F238E27FC236}">
              <a16:creationId xmlns:a16="http://schemas.microsoft.com/office/drawing/2014/main" id="{9DC906BD-7756-20F6-E61F-428CADF7D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904.6</v>
    <v>585.29999999999995</v>
    <v>1.0178</v>
    <v>11.9</v>
    <v>1.4322E-2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844</v>
    <v>Textiles &amp; Apparel</v>
    <v>Stock</v>
    <v>45118.359668981248</v>
    <v>0</v>
    <v>837</v>
    <v>414390800000</v>
    <v>LVMH Moet Hennessy Louis Vuitton SE</v>
    <v>LVMH Moet Hennessy Louis Vuitton SE</v>
    <v>840</v>
    <v>29.620699999999999</v>
    <v>830.9</v>
    <v>842.8</v>
    <v>502048400</v>
    <v>MC</v>
    <v>LVMH Moet Hennessy Louis Vuitton SE (XPAR:MC)</v>
    <v>32822</v>
    <v>281850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NASDAQGS:MBLY/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T86" activePane="bottomRight" state="frozen"/>
      <selection pane="topRight"/>
      <selection pane="bottomLeft"/>
      <selection pane="bottomRight" activeCell="Z99" sqref="Z99"/>
    </sheetView>
  </sheetViews>
  <sheetFormatPr baseColWidth="10" defaultRowHeight="16" x14ac:dyDescent="0.2"/>
  <cols>
    <col min="1" max="1" width="50" customWidth="1"/>
    <col min="2" max="23" width="15" customWidth="1"/>
    <col min="24" max="28" width="21.1640625"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88355000000</v>
      </c>
      <c r="Y3" s="15">
        <v>95285000000</v>
      </c>
      <c r="Z3" s="15">
        <v>102000000000</v>
      </c>
      <c r="AA3" s="15">
        <v>109300000000</v>
      </c>
      <c r="AB3" s="15">
        <v>117100000000</v>
      </c>
      <c r="AC3" s="26" t="s">
        <v>107</v>
      </c>
      <c r="AD3" s="27" t="s">
        <v>108</v>
      </c>
      <c r="AE3" s="27" t="s">
        <v>109</v>
      </c>
      <c r="AF3" s="27" t="s">
        <v>110</v>
      </c>
    </row>
    <row r="4" spans="1:32" ht="19" x14ac:dyDescent="0.25">
      <c r="A4" s="17" t="s">
        <v>93</v>
      </c>
      <c r="B4" s="1"/>
      <c r="C4" s="18">
        <f>(C3/B3)-1</f>
        <v>3.7942595469784957E-2</v>
      </c>
      <c r="D4" s="18">
        <f>(D3/C3)-1</f>
        <v>-5.7590798077680638E-2</v>
      </c>
      <c r="E4" s="18">
        <f>(E3/D3)-1</f>
        <v>5.52583180070223E-2</v>
      </c>
      <c r="F4" s="18">
        <f t="shared" ref="F4:Z4" si="0">(F3/E3)-1</f>
        <v>0.101956745623069</v>
      </c>
      <c r="G4" s="18">
        <f t="shared" si="0"/>
        <v>0.10035945363048171</v>
      </c>
      <c r="H4" s="18">
        <f t="shared" si="0"/>
        <v>7.6767280804913129E-2</v>
      </c>
      <c r="I4" s="18">
        <f t="shared" si="0"/>
        <v>4.3201262059341161E-2</v>
      </c>
      <c r="J4" s="18">
        <f t="shared" si="0"/>
        <v>-8.1428488338277649E-3</v>
      </c>
      <c r="K4" s="18">
        <f t="shared" si="0"/>
        <v>0.19157919427666692</v>
      </c>
      <c r="L4" s="18">
        <f t="shared" si="0"/>
        <v>0.16432086614173236</v>
      </c>
      <c r="M4" s="18">
        <f t="shared" si="0"/>
        <v>0.18783549600574845</v>
      </c>
      <c r="N4" s="18">
        <f t="shared" si="0"/>
        <v>3.7220225598690426E-2</v>
      </c>
      <c r="O4" s="18">
        <f t="shared" si="0"/>
        <v>5.1082369892620605E-2</v>
      </c>
      <c r="P4" s="18">
        <f t="shared" si="0"/>
        <v>0.16404465043410155</v>
      </c>
      <c r="Q4" s="18">
        <f t="shared" si="0"/>
        <v>5.4284432480933065E-2</v>
      </c>
      <c r="R4" s="16">
        <f t="shared" si="0"/>
        <v>0.13393617021276594</v>
      </c>
      <c r="S4" s="16">
        <f t="shared" si="0"/>
        <v>9.827375926447135E-2</v>
      </c>
      <c r="T4" s="16">
        <f t="shared" si="0"/>
        <v>0.14615811728526884</v>
      </c>
      <c r="U4" s="16">
        <f t="shared" si="0"/>
        <v>-0.16806409539780143</v>
      </c>
      <c r="V4" s="16">
        <f t="shared" si="0"/>
        <v>0.43818589025755883</v>
      </c>
      <c r="W4" s="16">
        <f t="shared" si="0"/>
        <v>0.23310752939344392</v>
      </c>
      <c r="X4" s="16">
        <f t="shared" si="0"/>
        <v>0.1158188522933925</v>
      </c>
      <c r="Y4" s="16">
        <f t="shared" si="0"/>
        <v>7.8433591760511678E-2</v>
      </c>
      <c r="Z4" s="16">
        <f t="shared" si="0"/>
        <v>7.0472792149866237E-2</v>
      </c>
      <c r="AA4" s="16">
        <f t="shared" ref="AA4" si="1">(AA3/Z3)-1</f>
        <v>7.156862745098036E-2</v>
      </c>
      <c r="AB4" s="16">
        <f t="shared" ref="AB4" si="2">(AB3/AA3)-1</f>
        <v>7.1363220494053081E-2</v>
      </c>
      <c r="AC4" s="28">
        <f>(W4+V4+U4)/3</f>
        <v>0.16774310808440043</v>
      </c>
      <c r="AD4" s="28">
        <f>(W20+V20+U20)/3</f>
        <v>0.22931209935446953</v>
      </c>
      <c r="AE4" s="28">
        <f>(W29+V29+U29)/3</f>
        <v>0.46187151904379231</v>
      </c>
      <c r="AF4" s="28">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26" t="s">
        <v>111</v>
      </c>
      <c r="AD6" s="27" t="s">
        <v>112</v>
      </c>
      <c r="AE6" s="27" t="s">
        <v>113</v>
      </c>
      <c r="AF6" s="27"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28">
        <f>W7</f>
        <v>0.68440000000000001</v>
      </c>
      <c r="AD7" s="29">
        <f>W21</f>
        <v>0.32900000000000001</v>
      </c>
      <c r="AE7" s="29">
        <f>W30</f>
        <v>0.1779</v>
      </c>
      <c r="AF7" s="29">
        <f>W107/W3</f>
        <v>0.16105526368963427</v>
      </c>
    </row>
    <row r="8" spans="1:32" ht="19" x14ac:dyDescent="0.25">
      <c r="A8" s="5" t="s">
        <v>5</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26" t="s">
        <v>95</v>
      </c>
      <c r="AD9" s="27" t="s">
        <v>96</v>
      </c>
      <c r="AE9" s="27" t="s">
        <v>97</v>
      </c>
      <c r="AF9" s="27"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28">
        <f>W9</f>
        <v>0</v>
      </c>
      <c r="AD10" s="29">
        <f>W13</f>
        <v>0.41899878763386544</v>
      </c>
      <c r="AE10" s="29">
        <f>W80</f>
        <v>0</v>
      </c>
      <c r="AF10" s="29">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26" t="s">
        <v>115</v>
      </c>
      <c r="AD12" s="27" t="s">
        <v>116</v>
      </c>
      <c r="AE12" s="27" t="s">
        <v>117</v>
      </c>
      <c r="AF12" s="27"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28">
        <f>W28/W72</f>
        <v>0.25555696684872348</v>
      </c>
      <c r="AD13" s="29">
        <f>W28/W54</f>
        <v>0.10460021092345854</v>
      </c>
      <c r="AE13" s="29">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26" t="s">
        <v>152</v>
      </c>
      <c r="AD15" s="27" t="s">
        <v>153</v>
      </c>
      <c r="AE15" s="27" t="s">
        <v>154</v>
      </c>
      <c r="AF15" s="27" t="s">
        <v>155</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36">
        <f>AE101/W3</f>
        <v>5.233264295817337</v>
      </c>
      <c r="AE16" s="36">
        <f>AE101/W28</f>
        <v>29.422806021016758</v>
      </c>
      <c r="AF16" s="37">
        <f>AE101/W107</f>
        <v>32.493593664235867</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26" t="s">
        <v>156</v>
      </c>
      <c r="AD18" s="27" t="s">
        <v>157</v>
      </c>
      <c r="AE18" s="27" t="s">
        <v>158</v>
      </c>
      <c r="AF18" s="27" t="s">
        <v>159</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34">
        <v>31048000000</v>
      </c>
      <c r="Y19" s="34">
        <v>33910000000</v>
      </c>
      <c r="Z19" s="34">
        <v>36875000000</v>
      </c>
      <c r="AA19" s="34">
        <v>32962000000</v>
      </c>
      <c r="AB19" s="34">
        <v>35046000000</v>
      </c>
      <c r="AC19" s="30">
        <f>W40-W56-W61</f>
        <v>-24294000000</v>
      </c>
      <c r="AD19" s="36">
        <f>AE101/X3</f>
        <v>4.6900662101748631</v>
      </c>
      <c r="AE19" s="36">
        <f>AE101/X28</f>
        <v>25.198589236850108</v>
      </c>
      <c r="AF19" s="37">
        <f>AE101/X106</f>
        <v>22.842776032192273</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0.19167882091041677</v>
      </c>
      <c r="Y20" s="16">
        <f t="shared" ref="Y20" si="7">(Y19/X19)-1</f>
        <v>9.2179850553981035E-2</v>
      </c>
      <c r="Z20" s="16">
        <f t="shared" ref="Z20" si="8">(Z19/Y19)-1</f>
        <v>8.743733411972876E-2</v>
      </c>
      <c r="AA20" s="16">
        <f t="shared" ref="AA20" si="9">(AA19/Z19)-1</f>
        <v>-0.10611525423728818</v>
      </c>
      <c r="AB20" s="16">
        <f t="shared" ref="AB20" si="10">(AB19/AA19)-1</f>
        <v>6.3224318912687316E-2</v>
      </c>
    </row>
    <row r="21" spans="1:32" ht="20"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35">
        <f>X19/X3</f>
        <v>0.35140059985286626</v>
      </c>
      <c r="Y21" s="35">
        <f t="shared" ref="Y21:AB21" si="11">Y19/Y3</f>
        <v>0.35587972923335259</v>
      </c>
      <c r="Z21" s="35">
        <f t="shared" si="11"/>
        <v>0.36151960784313725</v>
      </c>
      <c r="AA21" s="35">
        <f t="shared" si="11"/>
        <v>0.30157365050320217</v>
      </c>
      <c r="AB21" s="35">
        <f t="shared" si="11"/>
        <v>0.29928266438941076</v>
      </c>
      <c r="AE21" s="26" t="s">
        <v>164</v>
      </c>
      <c r="AF21" s="27" t="s">
        <v>165</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c r="AE22" s="41">
        <f>(-1*W98)/AE101</f>
        <v>1.4539415450343009E-2</v>
      </c>
      <c r="AF22" s="42">
        <f>W107/AE101</f>
        <v>3.0775297134975003E-2</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31">
        <v>16445000000</v>
      </c>
      <c r="Y28" s="31">
        <v>18257000000</v>
      </c>
      <c r="Z28" s="31">
        <v>19968000000</v>
      </c>
      <c r="AA28" s="31">
        <v>20828000000</v>
      </c>
      <c r="AB28" s="31">
        <v>22574000000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0.16763703493325766</v>
      </c>
      <c r="Y29" s="16">
        <f t="shared" ref="Y29" si="14">(Y28/X28)-1</f>
        <v>0.11018546670720575</v>
      </c>
      <c r="Z29" s="16">
        <f t="shared" ref="Z29" si="15">(Z28/Y28)-1</f>
        <v>9.3717478227529183E-2</v>
      </c>
      <c r="AA29" s="16">
        <f t="shared" ref="AA29" si="16">(AA28/Z28)-1</f>
        <v>4.3068910256410353E-2</v>
      </c>
      <c r="AB29" s="16">
        <f t="shared" ref="AB29" si="17">(AB28/AA28)-1</f>
        <v>8.3829460341847462E-2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32">
        <f>X28/X3</f>
        <v>0.18612415822534095</v>
      </c>
      <c r="Y30" s="32">
        <f t="shared" ref="Y30:AB30" si="18">Y28/Y3</f>
        <v>0.19160413496353046</v>
      </c>
      <c r="Z30" s="32">
        <f t="shared" si="18"/>
        <v>0.19576470588235295</v>
      </c>
      <c r="AA30" s="32">
        <f t="shared" si="18"/>
        <v>0.19055809698078682</v>
      </c>
      <c r="AB30" s="32">
        <f t="shared" si="18"/>
        <v>0.19277540563620837</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33">
        <v>32.82</v>
      </c>
      <c r="Y31" s="33">
        <v>36.44</v>
      </c>
      <c r="Z31" s="33">
        <v>39.85</v>
      </c>
      <c r="AA31" s="33">
        <v>41.57</v>
      </c>
      <c r="AB31" s="33">
        <v>45.05</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3"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row>
    <row r="34" spans="1:23"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row>
    <row r="35" spans="1:23" ht="20" customHeight="1" x14ac:dyDescent="0.25">
      <c r="A35" s="17" t="s">
        <v>151</v>
      </c>
      <c r="B35" s="1"/>
      <c r="C35" s="25">
        <f>(C34-B34)/B34</f>
        <v>1.5984924399757156E-3</v>
      </c>
      <c r="D35" s="25">
        <f t="shared" ref="D35:G35" si="19">(D34-C34)/C34</f>
        <v>2.0299699610447368E-3</v>
      </c>
      <c r="E35" s="25">
        <f t="shared" si="19"/>
        <v>3.6979051185813075E-4</v>
      </c>
      <c r="F35" s="25">
        <f t="shared" si="19"/>
        <v>-3.2608048082341745E-2</v>
      </c>
      <c r="G35" s="25">
        <f t="shared" si="19"/>
        <v>7.2243810072294117E-3</v>
      </c>
      <c r="H35" s="25">
        <f t="shared" ref="H35" si="20">(H34-G34)/G34</f>
        <v>5.0678536711124744E-3</v>
      </c>
      <c r="I35" s="25">
        <f t="shared" ref="I35" si="21">(I34-H34)/H34</f>
        <v>-8.920847941377142E-3</v>
      </c>
      <c r="J35" s="25">
        <f t="shared" ref="J35" si="22">(J34-I34)/I34</f>
        <v>-1.6245367177126757E-3</v>
      </c>
      <c r="K35" s="25">
        <f t="shared" ref="K35" si="23">(K34-J34)/J34</f>
        <v>1.032282955856368E-2</v>
      </c>
      <c r="L35" s="25">
        <f t="shared" ref="L35" si="24">(L34-K34)/K34</f>
        <v>2.5988666516375443E-2</v>
      </c>
      <c r="M35" s="25">
        <f t="shared" ref="M35" si="25">(M34-L34)/L34</f>
        <v>2.036226624522814E-2</v>
      </c>
      <c r="N35" s="25">
        <f t="shared" ref="N35" si="26">(N34-M34)/M34</f>
        <v>1.9663203997837232E-3</v>
      </c>
      <c r="O35" s="25">
        <f t="shared" ref="O35" si="27">(O34-N34)/N34</f>
        <v>1.2802337037974656E-3</v>
      </c>
      <c r="P35" s="25">
        <f t="shared" ref="P35" si="28">(P34-O34)/O34</f>
        <v>2.0505883505941899E-3</v>
      </c>
      <c r="Q35" s="25">
        <f t="shared" ref="Q35" si="29">(Q34-P34)/P34</f>
        <v>-5.0403950765631159E-4</v>
      </c>
      <c r="R35" s="25">
        <f t="shared" ref="R35" si="30">(R34-Q34)/Q34</f>
        <v>-1.248746486258249E-3</v>
      </c>
      <c r="S35" s="25">
        <f t="shared" ref="S35" si="31">(S34-R34)/R34</f>
        <v>-1.8283555245898739E-4</v>
      </c>
      <c r="T35" s="25">
        <f t="shared" ref="T35" si="32">(T34-S34)/S34</f>
        <v>-1.5597374605327762E-4</v>
      </c>
      <c r="U35" s="25">
        <f t="shared" ref="U35" si="33">(U34-T34)/T34</f>
        <v>7.3553377436183834E-4</v>
      </c>
      <c r="V35" s="25">
        <f t="shared" ref="V35" si="34">(V34-U34)/U34</f>
        <v>0</v>
      </c>
      <c r="W35" s="25">
        <f t="shared" ref="W35" si="35">(W34-V34)/V34</f>
        <v>0</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3"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3"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3"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3"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3"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3"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3"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3"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3"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3"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3"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1">
        <v>0</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21"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c r="AD83" s="66" t="s">
        <v>119</v>
      </c>
      <c r="AE83" s="67"/>
    </row>
    <row r="84" spans="1:31"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AD84" s="68" t="s">
        <v>120</v>
      </c>
      <c r="AE84" s="68"/>
    </row>
    <row r="85" spans="1:31"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AD85" s="44" t="s">
        <v>101</v>
      </c>
      <c r="AE85" s="45">
        <f>W17</f>
        <v>382000000</v>
      </c>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AD86" s="44" t="s">
        <v>121</v>
      </c>
      <c r="AE86" s="45">
        <f>W56</f>
        <v>11991000000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AD87" s="44" t="s">
        <v>122</v>
      </c>
      <c r="AE87" s="45">
        <f>W61</f>
        <v>23155000000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AD88" s="46" t="s">
        <v>123</v>
      </c>
      <c r="AE88" s="47">
        <f>AE85/(AE86+AE87)</f>
        <v>1.0868946679565242E-2</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18"/>
      <c r="Y89" s="18"/>
      <c r="Z89" s="18"/>
      <c r="AA89" s="18"/>
      <c r="AB89" s="18"/>
      <c r="AC89" s="18"/>
      <c r="AD89" s="44" t="s">
        <v>124</v>
      </c>
      <c r="AE89" s="45">
        <f>W27</f>
        <v>5362000000</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AD90" s="44" t="s">
        <v>19</v>
      </c>
      <c r="AE90" s="45">
        <f>W25</f>
        <v>20115000000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AD91" s="46" t="s">
        <v>125</v>
      </c>
      <c r="AE91" s="47">
        <f>AE89/AE90</f>
        <v>0.26656723837931889</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AD92" s="46" t="s">
        <v>126</v>
      </c>
      <c r="AE92" s="47">
        <f>AE88*(1-AE91)</f>
        <v>7.9716415791014662E-3</v>
      </c>
    </row>
    <row r="93" spans="1:31" ht="19"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AD93" s="69" t="s">
        <v>127</v>
      </c>
      <c r="AE93" s="69"/>
    </row>
    <row r="94" spans="1:31" ht="20"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AD94" s="44" t="s">
        <v>103</v>
      </c>
      <c r="AE94" s="48">
        <f>[1]Treasuries!$C$8</f>
        <v>4.0480000000000002E-2</v>
      </c>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AD95" s="44" t="s">
        <v>128</v>
      </c>
      <c r="AE95" s="49" cm="1">
        <f t="array" ref="AE95">_FV(A1,"Beta")</f>
        <v>1.0178</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AD96" s="44" t="s">
        <v>129</v>
      </c>
      <c r="AE96" s="48">
        <v>8.4000000000000005E-2</v>
      </c>
    </row>
    <row r="97" spans="1:31"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AD97" s="46" t="s">
        <v>130</v>
      </c>
      <c r="AE97" s="47">
        <f>(AE94)+((AE95)*(AE96-AE94))</f>
        <v>8.4774656000000004E-2</v>
      </c>
    </row>
    <row r="98" spans="1:31" ht="19"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AD98" s="69" t="s">
        <v>131</v>
      </c>
      <c r="AE98" s="69"/>
    </row>
    <row r="99" spans="1:31" ht="20"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AD99" s="44" t="s">
        <v>132</v>
      </c>
      <c r="AE99" s="45">
        <f>AE86+AE87</f>
        <v>35146000000</v>
      </c>
    </row>
    <row r="100" spans="1:31"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AD100" s="46" t="s">
        <v>133</v>
      </c>
      <c r="AE100" s="47">
        <f>AE99/AE103</f>
        <v>7.8182698279651408E-2</v>
      </c>
    </row>
    <row r="101" spans="1:31"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AD101" s="44" t="s">
        <v>134</v>
      </c>
      <c r="AE101" s="50" cm="1">
        <f t="array" ref="AE101">_FV(A1,"Market cap",TRUE)</f>
        <v>414390800000</v>
      </c>
    </row>
    <row r="102" spans="1:31"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AD102" s="46" t="s">
        <v>135</v>
      </c>
      <c r="AE102" s="47">
        <f>AE101/AE103</f>
        <v>0.92181730172034859</v>
      </c>
    </row>
    <row r="103" spans="1:31"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AD103" s="46" t="s">
        <v>136</v>
      </c>
      <c r="AE103" s="51">
        <f>AE99+AE101</f>
        <v>449536800000</v>
      </c>
    </row>
    <row r="104" spans="1:31" ht="2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AD104" s="43" t="s">
        <v>137</v>
      </c>
      <c r="AE104" s="43"/>
    </row>
    <row r="105" spans="1:31" ht="21" thickTop="1" x14ac:dyDescent="0.25">
      <c r="A105" s="17" t="s">
        <v>161</v>
      </c>
      <c r="B105" s="1">
        <f t="shared" ref="B105:V105" si="38">(B22*(1-$AE$91))+B77+B88+B81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(W22*(1-$AE$91))+W77+W88+W81</f>
        <v>14214821426.795921</v>
      </c>
      <c r="X105" s="22">
        <f>W105*(1+$AE$106)</f>
        <v>15373775957.704634</v>
      </c>
      <c r="Y105" s="22">
        <f t="shared" ref="Y105:AB105" si="39">X105*(1+$AE$106)</f>
        <v>16627221693.559605</v>
      </c>
      <c r="Z105" s="22">
        <f t="shared" si="39"/>
        <v>17982862636.178051</v>
      </c>
      <c r="AA105" s="22">
        <f t="shared" si="39"/>
        <v>19449030905.560612</v>
      </c>
      <c r="AB105" s="22">
        <f t="shared" si="39"/>
        <v>21034737951.256771</v>
      </c>
      <c r="AC105" s="23" t="s">
        <v>162</v>
      </c>
      <c r="AD105" s="52" t="s">
        <v>119</v>
      </c>
      <c r="AE105" s="53">
        <f>(AE100*AE92)+(AE102*AE97)</f>
        <v>7.8769989096563187E-2</v>
      </c>
    </row>
    <row r="106" spans="1:31" ht="19" x14ac:dyDescent="0.25">
      <c r="A106" s="17" t="s">
        <v>106</v>
      </c>
      <c r="B106" s="1"/>
      <c r="C106" s="18">
        <f t="shared" ref="C106:W106" si="40">(C107/B107)-1</f>
        <v>-4.4024390243902438</v>
      </c>
      <c r="D106" s="18">
        <f t="shared" si="40"/>
        <v>-9.3906810035842336E-2</v>
      </c>
      <c r="E106" s="18">
        <f t="shared" si="40"/>
        <v>5.6170886075949333E-2</v>
      </c>
      <c r="F106" s="18">
        <f t="shared" si="40"/>
        <v>-3.5955056179775235E-2</v>
      </c>
      <c r="G106" s="18">
        <f t="shared" si="40"/>
        <v>0.1787101787101788</v>
      </c>
      <c r="H106" s="18">
        <f t="shared" si="40"/>
        <v>-3.2300593276203049E-2</v>
      </c>
      <c r="I106" s="18">
        <f t="shared" si="40"/>
        <v>-0.15599455040871935</v>
      </c>
      <c r="J106" s="18">
        <f t="shared" si="40"/>
        <v>0.76432606941081516</v>
      </c>
      <c r="K106" s="18">
        <f t="shared" si="40"/>
        <v>0.39387008234217746</v>
      </c>
      <c r="L106" s="18">
        <f t="shared" si="40"/>
        <v>-0.29176238923531339</v>
      </c>
      <c r="M106" s="18">
        <f t="shared" si="40"/>
        <v>7.7386468952733933E-2</v>
      </c>
      <c r="N106" s="18">
        <f t="shared" si="40"/>
        <v>0.19612903225806444</v>
      </c>
      <c r="O106" s="18">
        <f t="shared" si="40"/>
        <v>-7.9108234448039827E-3</v>
      </c>
      <c r="P106" s="18">
        <f t="shared" si="40"/>
        <v>0.29720913374411029</v>
      </c>
      <c r="Q106" s="18">
        <f t="shared" si="40"/>
        <v>1.9558535903883678E-2</v>
      </c>
      <c r="R106" s="18">
        <f t="shared" si="40"/>
        <v>0.28391340093176209</v>
      </c>
      <c r="S106" s="18">
        <f t="shared" si="40"/>
        <v>0.14172892209178234</v>
      </c>
      <c r="T106" s="18">
        <f t="shared" si="40"/>
        <v>0.57449990652458394</v>
      </c>
      <c r="U106" s="18">
        <f t="shared" si="40"/>
        <v>1.3061030634053949E-3</v>
      </c>
      <c r="V106" s="18">
        <f t="shared" si="40"/>
        <v>0.82521048262777175</v>
      </c>
      <c r="W106" s="18">
        <f t="shared" si="40"/>
        <v>-0.17145270270270274</v>
      </c>
      <c r="X106" s="38">
        <v>18141000000</v>
      </c>
      <c r="Y106" s="38">
        <v>20294000000</v>
      </c>
      <c r="Z106" s="38">
        <v>22185000000</v>
      </c>
      <c r="AA106" s="38">
        <v>23737000000</v>
      </c>
      <c r="AB106" s="38">
        <v>25400000000</v>
      </c>
      <c r="AC106" s="23" t="s">
        <v>163</v>
      </c>
      <c r="AD106" s="54" t="s">
        <v>138</v>
      </c>
      <c r="AE106" s="55">
        <f>(SUM(X4,Y4,Z4,AA4,AB4)/5)</f>
        <v>8.1531416829760769E-2</v>
      </c>
    </row>
    <row r="107" spans="1:31" ht="19" x14ac:dyDescent="0.25">
      <c r="A107" s="40" t="s">
        <v>160</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23"/>
      <c r="Y107" s="23"/>
      <c r="Z107" s="23"/>
      <c r="AA107" s="23"/>
      <c r="AB107" s="39">
        <f>AB106*(1+AE107)/(AE108-AE107)</f>
        <v>484192026768.77753</v>
      </c>
      <c r="AC107" s="24" t="s">
        <v>139</v>
      </c>
      <c r="AD107" s="56" t="s">
        <v>140</v>
      </c>
      <c r="AE107" s="57">
        <v>2.5000000000000001E-2</v>
      </c>
    </row>
    <row r="108" spans="1:31" ht="19" x14ac:dyDescent="0.25">
      <c r="X108" s="39">
        <f t="shared" ref="X108:AA108" si="41">X107+X106</f>
        <v>18141000000</v>
      </c>
      <c r="Y108" s="39">
        <f t="shared" si="41"/>
        <v>20294000000</v>
      </c>
      <c r="Z108" s="39">
        <f t="shared" si="41"/>
        <v>22185000000</v>
      </c>
      <c r="AA108" s="39">
        <f t="shared" si="41"/>
        <v>23737000000</v>
      </c>
      <c r="AB108" s="39">
        <f>AB107+AB106</f>
        <v>509592026768.77753</v>
      </c>
      <c r="AC108" s="24" t="s">
        <v>136</v>
      </c>
      <c r="AD108" s="58" t="s">
        <v>141</v>
      </c>
      <c r="AE108" s="55">
        <f>AE105</f>
        <v>7.8769989096563187E-2</v>
      </c>
    </row>
    <row r="109" spans="1:31" ht="19" x14ac:dyDescent="0.25">
      <c r="X109" s="65" t="s">
        <v>142</v>
      </c>
      <c r="Y109" s="65"/>
    </row>
    <row r="110" spans="1:31" ht="20" x14ac:dyDescent="0.25">
      <c r="X110" s="59" t="s">
        <v>143</v>
      </c>
      <c r="Y110" s="50">
        <f>NPV(AE108,X108,Y108,Z108,AA108,AB108)</f>
        <v>418254998612.40363</v>
      </c>
    </row>
    <row r="111" spans="1:31" ht="20" x14ac:dyDescent="0.25">
      <c r="X111" s="59" t="s">
        <v>144</v>
      </c>
      <c r="Y111" s="50">
        <f>W40</f>
        <v>10852000000</v>
      </c>
    </row>
    <row r="112" spans="1:31" ht="20" x14ac:dyDescent="0.25">
      <c r="X112" s="59" t="s">
        <v>132</v>
      </c>
      <c r="Y112" s="50">
        <f>AE99</f>
        <v>35146000000</v>
      </c>
    </row>
    <row r="113" spans="24:25" ht="20" x14ac:dyDescent="0.25">
      <c r="X113" s="59" t="s">
        <v>145</v>
      </c>
      <c r="Y113" s="50">
        <f>Y110+Y111-Y112</f>
        <v>393960998612.40363</v>
      </c>
    </row>
    <row r="114" spans="24:25" ht="20" x14ac:dyDescent="0.25">
      <c r="X114" s="59" t="s">
        <v>146</v>
      </c>
      <c r="Y114" s="59">
        <f>W34*(1+(5*AC16))</f>
        <v>504410165.50073248</v>
      </c>
    </row>
    <row r="115" spans="24:25" ht="20" x14ac:dyDescent="0.25">
      <c r="X115" s="60" t="s">
        <v>147</v>
      </c>
      <c r="Y115" s="61">
        <f>Y113/Y114</f>
        <v>781.03302740006245</v>
      </c>
    </row>
    <row r="116" spans="24:25" ht="20" x14ac:dyDescent="0.25">
      <c r="X116" s="59" t="s">
        <v>148</v>
      </c>
      <c r="Y116" s="62" cm="1">
        <f t="array" ref="Y116">_FV(A1,"Price")</f>
        <v>842.8</v>
      </c>
    </row>
    <row r="117" spans="24:25" ht="20" x14ac:dyDescent="0.25">
      <c r="X117" s="60" t="s">
        <v>149</v>
      </c>
      <c r="Y117" s="63">
        <f>Y115/Y116-1</f>
        <v>-7.3287817512977638E-2</v>
      </c>
    </row>
    <row r="118" spans="24:25" ht="20" x14ac:dyDescent="0.25">
      <c r="X118" s="60" t="s">
        <v>150</v>
      </c>
      <c r="Y118" s="64" t="str">
        <f>IF(Y115&gt;Y116,"BUY","SELL")</f>
        <v>SELL</v>
      </c>
    </row>
  </sheetData>
  <mergeCells count="5">
    <mergeCell ref="X109:Y109"/>
    <mergeCell ref="AD83:AE83"/>
    <mergeCell ref="AD84:AE84"/>
    <mergeCell ref="AD93:AE93"/>
    <mergeCell ref="AD98:AE98"/>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6"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2023-02-07T09:00:14Z</dcterms:created>
  <dcterms:modified xsi:type="dcterms:W3CDTF">2023-07-11T08:53:54Z</dcterms:modified>
</cp:coreProperties>
</file>