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6147DC5A-C13A-3A40-B4C1-175E32F87D2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8" i="1" l="1"/>
  <c r="K108" i="1"/>
  <c r="L108" i="1"/>
  <c r="M108" i="1"/>
  <c r="N108" i="1"/>
  <c r="N107" i="1"/>
  <c r="F4" i="1"/>
  <c r="G4" i="1"/>
  <c r="H4" i="1"/>
  <c r="I4" i="1"/>
  <c r="Q94" i="1" l="1"/>
  <c r="C105" i="1"/>
  <c r="D105" i="1"/>
  <c r="E105" i="1"/>
  <c r="F105" i="1"/>
  <c r="G105" i="1"/>
  <c r="H105" i="1"/>
  <c r="I105" i="1"/>
  <c r="K114" i="1"/>
  <c r="K30" i="1"/>
  <c r="L30" i="1"/>
  <c r="M30" i="1"/>
  <c r="N30" i="1"/>
  <c r="J30" i="1"/>
  <c r="J21" i="1"/>
  <c r="K21" i="1"/>
  <c r="L21" i="1"/>
  <c r="M21" i="1"/>
  <c r="N21" i="1"/>
  <c r="J29" i="1"/>
  <c r="K29" i="1"/>
  <c r="L29" i="1"/>
  <c r="M29" i="1"/>
  <c r="N29" i="1"/>
  <c r="J20" i="1"/>
  <c r="K20" i="1"/>
  <c r="L20" i="1"/>
  <c r="M20" i="1"/>
  <c r="N20" i="1"/>
  <c r="K116" i="1" a="1"/>
  <c r="K116" i="1" s="1"/>
  <c r="Q101" i="1" a="1"/>
  <c r="Q101" i="1" s="1"/>
  <c r="P19" i="1" s="1"/>
  <c r="Q95" i="1" a="1"/>
  <c r="Q95" i="1" s="1"/>
  <c r="Q86" i="1"/>
  <c r="Q87" i="1"/>
  <c r="Q99" i="1"/>
  <c r="Q85" i="1"/>
  <c r="Q88" i="1"/>
  <c r="Q89" i="1"/>
  <c r="Q90" i="1"/>
  <c r="Q91" i="1"/>
  <c r="Q92" i="1"/>
  <c r="K111" i="1"/>
  <c r="K112" i="1"/>
  <c r="O16" i="1"/>
  <c r="O19" i="1"/>
  <c r="R13" i="1"/>
  <c r="Q13" i="1"/>
  <c r="P13" i="1"/>
  <c r="O13" i="1"/>
  <c r="I89" i="1"/>
  <c r="R10" i="1"/>
  <c r="I80" i="1"/>
  <c r="Q10" i="1"/>
  <c r="P10" i="1"/>
  <c r="O10" i="1"/>
  <c r="R7" i="1"/>
  <c r="Q7" i="1"/>
  <c r="P7" i="1"/>
  <c r="O7" i="1"/>
  <c r="Q4" i="1"/>
  <c r="P4" i="1"/>
  <c r="O4" i="1"/>
  <c r="N4" i="1"/>
  <c r="M4" i="1"/>
  <c r="L4" i="1"/>
  <c r="K4" i="1"/>
  <c r="J4" i="1"/>
  <c r="I106" i="1"/>
  <c r="R4" i="1" s="1"/>
  <c r="H106" i="1"/>
  <c r="G106" i="1"/>
  <c r="F106" i="1"/>
  <c r="E106" i="1"/>
  <c r="D106" i="1"/>
  <c r="C106" i="1"/>
  <c r="H89" i="1"/>
  <c r="G89" i="1"/>
  <c r="F89" i="1"/>
  <c r="E89" i="1"/>
  <c r="D89" i="1"/>
  <c r="C89" i="1"/>
  <c r="B89"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E4" i="1"/>
  <c r="D4" i="1"/>
  <c r="C4" i="1"/>
  <c r="R19" i="1" l="1"/>
  <c r="Q22" i="1"/>
  <c r="R22" i="1"/>
  <c r="Q97" i="1"/>
  <c r="Q19" i="1"/>
  <c r="Q106" i="1"/>
  <c r="J105" i="1" s="1"/>
  <c r="K105" i="1" s="1"/>
  <c r="L105" i="1" s="1"/>
  <c r="M105" i="1" s="1"/>
  <c r="N105" i="1" s="1"/>
  <c r="Q16" i="1"/>
  <c r="P16" i="1"/>
  <c r="Q103" i="1"/>
  <c r="Q100" i="1" s="1"/>
  <c r="R16" i="1"/>
  <c r="Q102" i="1" l="1"/>
  <c r="Q105" i="1" s="1"/>
  <c r="Q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<sst xmlns="http://schemas.openxmlformats.org/spreadsheetml/2006/main" count="434" uniqueCount="167">
  <si>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</si>
  <si>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</si>
  <si>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</si>
  <si>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</si>
  <si>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</si>
  <si>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</si>
  <si>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</si>
  <si>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</si>
  <si>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</si>
  <si>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</si>
  <si>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</si>
  <si>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</si>
  <si>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</si>
  <si>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</si>
  <si>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</si>
  <si>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</si>
  <si>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</si>
  <si>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</si>
  <si>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</si>
  <si>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</si>
  <si>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</si>
  <si>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</si>
  <si>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</si>
  <si>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</si>
  <si>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</si>
  <si>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</si>
  <si>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</si>
  <si>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</si>
  <si>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</si>
  <si>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</si>
  <si>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</si>
  <si>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</si>
  <si>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</si>
  <si>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</si>
  <si>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</si>
  <si>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</si>
  <si>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</si>
  <si>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</si>
  <si>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</si>
  <si>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</si>
  <si>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</si>
  <si>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</si>
  <si>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</si>
  <si>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</si>
  <si>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</si>
  <si>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</si>
  <si>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</si>
  <si>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</si>
  <si>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</si>
  <si>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</si>
  <si>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</si>
  <si>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</si>
  <si>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</si>
  <si>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</si>
  <si>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</si>
  <si>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</si>
  <si>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</si>
  <si>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</si>
  <si>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</si>
  <si>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</si>
  <si>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</si>
  <si>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</si>
  <si>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</si>
  <si>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</si>
  <si>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</si>
  <si>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</si>
  <si>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</si>
  <si>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</si>
  <si>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</si>
  <si>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</si>
  <si>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</si>
  <si>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</si>
  <si>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</si>
  <si>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</si>
  <si>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</si>
  <si>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</si>
  <si>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</si>
  <si>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</si>
  <si>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</si>
  <si>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</si>
  <si>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</si>
  <si>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</si>
  <si>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</si>
  <si>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</si>
  <si>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</si>
  <si>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</si>
  <si>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</si>
  <si>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</si>
  <si>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</si>
  <si>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</si>
  <si>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</si>
  <si>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</si>
  <si>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</si>
  <si>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</si>
  <si>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</si>
  <si>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</si>
  <si>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</si>
  <si>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</si>
  <si>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</si>
  <si>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</si>
  <si>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</si>
  <si>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</si>
  <si>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</si>
  <si>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</si>
  <si>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</si>
  <si>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</si>
  <si>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</si>
  <si>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</si>
  <si>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</si>
  <si>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</si>
  <si>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</si>
  <si>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</si>
  <si>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</si>
  <si>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</si>
  <si>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</si>
  <si>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</si>
  <si>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</si>
  <si>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</si>
  <si>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</si>
  <si>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</si>
  <si>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</si>
  <si>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</si>
  <si>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</si>
  <si>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</si>
  <si>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</si>
  <si>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</si>
  <si>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</si>
  <si>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</si>
  <si>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</si>
  <si>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</si>
  <si>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</si>
  <si>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</si>
  <si>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</si>
  <si>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</si>
  <si>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</si>
  <si>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</si>
  <si>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</si>
  <si>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</si>
  <si>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</si>
  <si>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</si>
  <si>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</si>
  <si>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</si>
  <si>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</si>
  <si>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</si>
  <si>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</si>
  <si>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</si>
  <si>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</si>
  <si>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</si>
  <si>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</si>
  <si>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</si>
  <si>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</si>
  <si>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</si>
  <si>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</si>
  <si>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</si>
  <si>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</si>
  <si>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</si>
  <si>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Forward P/S</t>
  </si>
  <si>
    <t>Forward P/E</t>
  </si>
  <si>
    <t>Shares (5% dilution)</t>
  </si>
  <si>
    <t>Levered FCF</t>
  </si>
  <si>
    <t>Levered FCF Growth YoY</t>
  </si>
  <si>
    <t>Unlevered FCF</t>
  </si>
  <si>
    <t>Unlevered FCF Proj</t>
  </si>
  <si>
    <t>Unlevered FCF Forecast</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</si>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</sst>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0" fontId="0" fillId="6"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8" fontId="11" fillId="0" borderId="6" xfId="0" applyNumberFormat="1" applyFont="1" applyBorder="1" applyAlignment="1">
      <alignment horizontal="center"/>
    </xf>
    <xf numFmtId="164" fontId="10" fillId="7" borderId="0" xfId="0" applyNumberFormat="1" applyFont="1" applyFill="1"/>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 fillId="6" borderId="0" xfId="0" applyNumberFormat="1" applyFont="1" applyFill="1" applyAlignment="1">
      <alignment wrapText="1"/>
    </xf>
    <xf numFmtId="164" fontId="1" fillId="6" borderId="0" xfId="0" applyNumberFormat="1" applyFont="1" applyFill="1"/>
    <xf numFmtId="164" fontId="1" fillId="4" borderId="0" xfId="0" applyNumberFormat="1" applyFont="1" applyFill="1" applyAlignment="1">
      <alignment wrapText="1"/>
    </xf>
    <xf numFmtId="167" fontId="12" fillId="4" borderId="0" xfId="0" applyNumberFormat="1" applyFont="1" applyFill="1"/>
    <xf numFmtId="167" fontId="1" fillId="6" borderId="0" xfId="0" applyNumberFormat="1" applyFont="1" applyFill="1"/>
    <xf numFmtId="9" fontId="12" fillId="4" borderId="0" xfId="1" applyFont="1" applyFill="1" applyBorder="1"/>
    <xf numFmtId="0" fontId="12" fillId="4" borderId="0" xfId="0" applyFont="1" applyFill="1" applyAlignment="1">
      <alignment horizontal="right"/>
    </xf>
    <xf numFmtId="0" fontId="11" fillId="8" borderId="0" xfId="0" applyFont="1" applyFill="1" applyAlignment="1">
      <alignment horizontal="left" vertical="center" wrapText="1"/>
    </xf>
    <xf numFmtId="164" fontId="11" fillId="8" borderId="0" xfId="0" applyNumberFormat="1" applyFont="1" applyFill="1"/>
    <xf numFmtId="0" fontId="12" fillId="8" borderId="0" xfId="0" applyFont="1" applyFill="1" applyAlignment="1">
      <alignment horizontal="left" vertical="center" wrapText="1"/>
    </xf>
    <xf numFmtId="10" fontId="12" fillId="8" borderId="0" xfId="0" applyNumberFormat="1" applyFont="1" applyFill="1"/>
    <xf numFmtId="10" fontId="11" fillId="6" borderId="0" xfId="0" applyNumberFormat="1" applyFont="1" applyFill="1"/>
    <xf numFmtId="0" fontId="11" fillId="6" borderId="0" xfId="0" applyFont="1" applyFill="1" applyAlignment="1">
      <alignment horizontal="left" vertical="center" wrapText="1"/>
    </xf>
    <xf numFmtId="39" fontId="11" fillId="6" borderId="0" xfId="0" applyNumberFormat="1" applyFont="1" applyFill="1"/>
    <xf numFmtId="10" fontId="11" fillId="8" borderId="0" xfId="0" applyNumberFormat="1" applyFont="1" applyFill="1"/>
    <xf numFmtId="164" fontId="12" fillId="8"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Livent</a:t>
            </a:r>
          </a:p>
        </c:rich>
      </c:tx>
      <c:layout>
        <c:manualLayout>
          <c:xMode val="edge"/>
          <c:yMode val="edge"/>
          <c:x val="0.46000657037075665"/>
          <c:y val="2.3888520238885203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590104985244809"/>
          <c:w val="0.84989403973509936"/>
          <c:h val="0.67005267335722896"/>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1'!$C$3:$I$3</c:f>
              <c:numCache>
                <c:formatCode>#,###,,;\(#,###,,\);\ \-\ \-</c:formatCode>
                <c:ptCount val="7"/>
                <c:pt idx="0">
                  <c:v>264100000</c:v>
                </c:pt>
                <c:pt idx="1">
                  <c:v>347400000</c:v>
                </c:pt>
                <c:pt idx="2">
                  <c:v>442500000</c:v>
                </c:pt>
                <c:pt idx="3">
                  <c:v>388400000</c:v>
                </c:pt>
                <c:pt idx="4">
                  <c:v>288200000</c:v>
                </c:pt>
                <c:pt idx="5">
                  <c:v>420400000</c:v>
                </c:pt>
                <c:pt idx="6">
                  <c:v>813200000</c:v>
                </c:pt>
              </c:numCache>
            </c:numRef>
          </c:val>
          <c:extLst>
            <c:ext xmlns:c16="http://schemas.microsoft.com/office/drawing/2014/chart" uri="{C3380CC4-5D6E-409C-BE32-E72D297353CC}">
              <c16:uniqueId val="{00000000-715D-BC4E-AAAA-DFE274AA7B3E}"/>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1'!$C$19:$I$19</c:f>
              <c:numCache>
                <c:formatCode>#,###,,;\(#,###,,\);\ \-\ \-</c:formatCode>
                <c:ptCount val="7"/>
                <c:pt idx="0">
                  <c:v>69300000</c:v>
                </c:pt>
                <c:pt idx="1">
                  <c:v>86000000</c:v>
                </c:pt>
                <c:pt idx="2">
                  <c:v>170900000</c:v>
                </c:pt>
                <c:pt idx="3">
                  <c:v>78700000</c:v>
                </c:pt>
                <c:pt idx="4">
                  <c:v>3300000</c:v>
                </c:pt>
                <c:pt idx="5">
                  <c:v>78700000</c:v>
                </c:pt>
                <c:pt idx="6">
                  <c:v>663800000</c:v>
                </c:pt>
              </c:numCache>
            </c:numRef>
          </c:val>
          <c:extLst>
            <c:ext xmlns:c16="http://schemas.microsoft.com/office/drawing/2014/chart" uri="{C3380CC4-5D6E-409C-BE32-E72D297353CC}">
              <c16:uniqueId val="{00000001-715D-BC4E-AAAA-DFE274AA7B3E}"/>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1'!$C$107:$I$107</c:f>
              <c:numCache>
                <c:formatCode>#,###,,;\(#,###,,\);\ \-\ \-</c:formatCode>
                <c:ptCount val="7"/>
                <c:pt idx="0">
                  <c:v>25300000</c:v>
                </c:pt>
                <c:pt idx="1">
                  <c:v>9400000</c:v>
                </c:pt>
                <c:pt idx="2">
                  <c:v>18400000</c:v>
                </c:pt>
                <c:pt idx="3">
                  <c:v>-126200000</c:v>
                </c:pt>
                <c:pt idx="4">
                  <c:v>6300000</c:v>
                </c:pt>
                <c:pt idx="5">
                  <c:v>26400000</c:v>
                </c:pt>
                <c:pt idx="6">
                  <c:v>454700000</c:v>
                </c:pt>
              </c:numCache>
            </c:numRef>
          </c:val>
          <c:extLst>
            <c:ext xmlns:c16="http://schemas.microsoft.com/office/drawing/2014/chart" uri="{C3380CC4-5D6E-409C-BE32-E72D297353CC}">
              <c16:uniqueId val="{00000002-715D-BC4E-AAAA-DFE274AA7B3E}"/>
            </c:ext>
          </c:extLst>
        </c:ser>
        <c:dLbls>
          <c:showLegendKey val="0"/>
          <c:showVal val="0"/>
          <c:showCatName val="0"/>
          <c:showSerName val="0"/>
          <c:showPercent val="0"/>
          <c:showBubbleSize val="0"/>
        </c:dLbls>
        <c:gapWidth val="100"/>
        <c:overlap val="-24"/>
        <c:axId val="841239840"/>
        <c:axId val="841492784"/>
      </c:barChart>
      <c:catAx>
        <c:axId val="8412398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1492784"/>
        <c:crosses val="autoZero"/>
        <c:auto val="1"/>
        <c:lblAlgn val="ctr"/>
        <c:lblOffset val="100"/>
        <c:noMultiLvlLbl val="0"/>
      </c:catAx>
      <c:valAx>
        <c:axId val="8414927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239840"/>
        <c:crosses val="autoZero"/>
        <c:crossBetween val="between"/>
      </c:valAx>
      <c:spPr>
        <a:noFill/>
        <a:ln>
          <a:noFill/>
        </a:ln>
        <a:effectLst/>
      </c:spPr>
    </c:plotArea>
    <c:legend>
      <c:legendPos val="b"/>
      <c:layout>
        <c:manualLayout>
          <c:xMode val="edge"/>
          <c:yMode val="edge"/>
          <c:x val="0.33497158053918757"/>
          <c:y val="0.8904746964016419"/>
          <c:w val="0.36449392501434008"/>
          <c:h val="5.44087695740089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15875</xdr:colOff>
      <xdr:row>108</xdr:row>
      <xdr:rowOff>41275</xdr:rowOff>
    </xdr:from>
    <xdr:to>
      <xdr:col>16</xdr:col>
      <xdr:colOff>1587500</xdr:colOff>
      <xdr:row>126</xdr:row>
      <xdr:rowOff>15876</xdr:rowOff>
    </xdr:to>
    <xdr:graphicFrame macro="">
      <xdr:nvGraphicFramePr>
        <xdr:cNvPr id="2" name="Chart 1">
          <a:extLst>
            <a:ext uri="{FF2B5EF4-FFF2-40B4-BE49-F238E27FC236}">
              <a16:creationId xmlns:a16="http://schemas.microsoft.com/office/drawing/2014/main" id="{06F882DE-2045-FF32-5D6B-571A72003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https://www.bing.com/financeapi/forcetrigger?t=bmzp77&amp;q=XNYS%3aLTHM&amp;form=skydnc</v>
    <v>Learn more on Bing</v>
  </rv>
  <rv s="1">
    <v>0</v>
    <v>LIVENT CORPORATION (XNYS:LTHM)</v>
    <v>2</v>
    <v>3</v>
    <v>Finance</v>
    <v>4</v>
    <v>en-US</v>
    <v>bmzp77</v>
    <v>268435456</v>
    <v>1</v>
    <v>Powered by Refinitiv</v>
    <v>36.380000000000003</v>
    <v>18.260000000000002</v>
    <v>1.8274999999999999</v>
    <v>0.96</v>
    <v>3.5035999999999998E-2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28.37</v>
    <v>Chemicals</v>
    <v>Stock</v>
    <v>45117.995933506252</v>
    <v>0</v>
    <v>27.26</v>
    <v>5095948844</v>
    <v>LIVENT CORPORATION</v>
    <v>LIVENT CORPORATION</v>
    <v>27.33</v>
    <v>17.498100000000001</v>
    <v>27.4</v>
    <v>28.36</v>
    <v>179687900</v>
    <v>LTHM</v>
    <v>LIVENT CORPORATION (XNYS:LTHM)</v>
    <v>1868</v>
    <v>2383348</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42924/000174292419000013/0001742924-19-000013-index.html" TargetMode="External"/><Relationship Id="rId13" Type="http://schemas.openxmlformats.org/officeDocument/2006/relationships/hyperlink" Target="https://www.sec.gov/Archives/edgar/data/1742924/000174292421000016/0001742924-21-000016-index.htm" TargetMode="External"/><Relationship Id="rId18" Type="http://schemas.openxmlformats.org/officeDocument/2006/relationships/hyperlink" Target="https://finbox.com/NYSE:LTHM/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42924/000174292421000016/0001742924-21-000016-index.htm" TargetMode="External"/><Relationship Id="rId17" Type="http://schemas.openxmlformats.org/officeDocument/2006/relationships/hyperlink" Target="https://www.sec.gov/Archives/edgar/data/1742924/000174292423000009/0001742924-23-0000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42924/000174292423000009/0001742924-23-000009-index.htm" TargetMode="External"/><Relationship Id="rId20" Type="http://schemas.openxmlformats.org/officeDocument/2006/relationships/drawing" Target="../drawings/drawing1.xml"/><Relationship Id="rId1" Type="http://schemas.openxmlformats.org/officeDocument/2006/relationships/hyperlink" Target="https://roic.ai/company/LTH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42924/000174292420000012/0001742924-20-000012-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42924/000174292422000007/0001742924-22-000007-index.htm" TargetMode="External"/><Relationship Id="rId10" Type="http://schemas.openxmlformats.org/officeDocument/2006/relationships/hyperlink" Target="https://www.sec.gov/Archives/edgar/data/1742924/000174292420000012/0001742924-20-000012-index.html" TargetMode="External"/><Relationship Id="rId19" Type="http://schemas.openxmlformats.org/officeDocument/2006/relationships/hyperlink" Target="https://finbox.com/NYSE:LTHM/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42924/000174292419000013/0001742924-19-000013-index.html" TargetMode="External"/><Relationship Id="rId14" Type="http://schemas.openxmlformats.org/officeDocument/2006/relationships/hyperlink" Target="https://www.sec.gov/Archives/edgar/data/1742924/000174292422000007/0001742924-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101" activePane="bottomRight" state="frozen"/>
      <selection pane="topRight"/>
      <selection pane="bottomLeft"/>
      <selection pane="bottomRight" activeCell="K130" sqref="K130"/>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3">
        <v>2023</v>
      </c>
      <c r="K1" s="23">
        <v>2024</v>
      </c>
      <c r="L1" s="23">
        <v>2025</v>
      </c>
      <c r="M1" s="23">
        <v>2026</v>
      </c>
      <c r="N1" s="23">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40" x14ac:dyDescent="0.25">
      <c r="A3" s="5" t="s">
        <v>1</v>
      </c>
      <c r="B3" s="1" t="s">
        <v>91</v>
      </c>
      <c r="C3" s="1">
        <v>264100000</v>
      </c>
      <c r="D3" s="1">
        <v>347400000</v>
      </c>
      <c r="E3" s="1">
        <v>442500000</v>
      </c>
      <c r="F3" s="1">
        <v>388400000</v>
      </c>
      <c r="G3" s="1">
        <v>288200000</v>
      </c>
      <c r="H3" s="1">
        <v>420400000</v>
      </c>
      <c r="I3" s="1">
        <v>813200000</v>
      </c>
      <c r="J3" s="24">
        <v>1087000000</v>
      </c>
      <c r="K3" s="24">
        <v>1392000000</v>
      </c>
      <c r="L3" s="24">
        <v>1486000000</v>
      </c>
      <c r="M3" s="24">
        <v>1489000000</v>
      </c>
      <c r="N3" s="24">
        <v>2196000000</v>
      </c>
      <c r="O3" s="19" t="s">
        <v>107</v>
      </c>
      <c r="P3" s="20" t="s">
        <v>108</v>
      </c>
      <c r="Q3" s="20" t="s">
        <v>109</v>
      </c>
      <c r="R3" s="20" t="s">
        <v>110</v>
      </c>
    </row>
    <row r="4" spans="1:38" ht="19" x14ac:dyDescent="0.25">
      <c r="A4" s="14" t="s">
        <v>93</v>
      </c>
      <c r="B4" s="1"/>
      <c r="C4" s="15" t="e">
        <f>(C3/B3)-1</f>
        <v>#VALUE!</v>
      </c>
      <c r="D4" s="15">
        <f>(D3/C3)-1</f>
        <v>0.31541082923135177</v>
      </c>
      <c r="E4" s="15">
        <f>(E3/D3)-1</f>
        <v>0.273747841105354</v>
      </c>
      <c r="F4" s="15">
        <f t="shared" ref="F4:I4" si="0">(F3/E3)-1</f>
        <v>-0.12225988700564971</v>
      </c>
      <c r="G4" s="15">
        <f t="shared" si="0"/>
        <v>-0.25798146240988673</v>
      </c>
      <c r="H4" s="15">
        <f t="shared" si="0"/>
        <v>0.45870922970159622</v>
      </c>
      <c r="I4" s="15">
        <f t="shared" si="0"/>
        <v>0.93434823977164605</v>
      </c>
      <c r="J4" s="16">
        <f t="shared" ref="J4:N4" si="1">(J3/I3)-1</f>
        <v>0.33669454008853905</v>
      </c>
      <c r="K4" s="16">
        <f t="shared" si="1"/>
        <v>0.28058877644894209</v>
      </c>
      <c r="L4" s="16">
        <f t="shared" si="1"/>
        <v>6.7528735632183867E-2</v>
      </c>
      <c r="M4" s="16">
        <f t="shared" si="1"/>
        <v>2.0188425302827273E-3</v>
      </c>
      <c r="N4" s="16">
        <f t="shared" si="1"/>
        <v>0.47481531229012752</v>
      </c>
      <c r="O4" s="17">
        <f>(I4+H4+G4)/3</f>
        <v>0.37835866902111848</v>
      </c>
      <c r="P4" s="17">
        <f>(I20+H20+G20)/3</f>
        <v>9.7749926199735615</v>
      </c>
      <c r="Q4" s="17">
        <f>(I29+H29+G29)/3</f>
        <v>150.8083644258943</v>
      </c>
      <c r="R4" s="17">
        <f>(I106+H106+G106)/3</f>
        <v>6.1213467594212441</v>
      </c>
      <c r="Z4" s="16"/>
      <c r="AA4" s="16"/>
      <c r="AB4" s="16"/>
      <c r="AC4" s="16"/>
      <c r="AD4" s="16"/>
      <c r="AE4" s="16"/>
      <c r="AF4" s="16"/>
      <c r="AI4" s="18"/>
      <c r="AJ4" s="18"/>
      <c r="AK4" s="18"/>
      <c r="AL4" s="18"/>
    </row>
    <row r="5" spans="1:38" ht="19" x14ac:dyDescent="0.25">
      <c r="A5" s="5" t="s">
        <v>2</v>
      </c>
      <c r="B5" s="1" t="s">
        <v>91</v>
      </c>
      <c r="C5" s="1">
        <v>175800000</v>
      </c>
      <c r="D5" s="1">
        <v>198600000</v>
      </c>
      <c r="E5" s="1">
        <v>236800000</v>
      </c>
      <c r="F5" s="1">
        <v>273500000</v>
      </c>
      <c r="G5" s="1">
        <v>251400000</v>
      </c>
      <c r="H5" s="1">
        <v>332000000</v>
      </c>
      <c r="I5" s="1">
        <v>417500000</v>
      </c>
    </row>
    <row r="6" spans="1:38" ht="20" x14ac:dyDescent="0.25">
      <c r="A6" s="6" t="s">
        <v>3</v>
      </c>
      <c r="B6" s="10" t="s">
        <v>91</v>
      </c>
      <c r="C6" s="10">
        <v>88300000</v>
      </c>
      <c r="D6" s="10">
        <v>148800000</v>
      </c>
      <c r="E6" s="10">
        <v>205700000</v>
      </c>
      <c r="F6" s="10">
        <v>114900000</v>
      </c>
      <c r="G6" s="10">
        <v>36800000</v>
      </c>
      <c r="H6" s="10">
        <v>88400000</v>
      </c>
      <c r="I6" s="10">
        <v>395700000</v>
      </c>
      <c r="O6" s="19" t="s">
        <v>111</v>
      </c>
      <c r="P6" s="20" t="s">
        <v>112</v>
      </c>
      <c r="Q6" s="20" t="s">
        <v>113</v>
      </c>
      <c r="R6" s="20" t="s">
        <v>114</v>
      </c>
    </row>
    <row r="7" spans="1:38" ht="19" x14ac:dyDescent="0.25">
      <c r="A7" s="5" t="s">
        <v>4</v>
      </c>
      <c r="B7" s="2" t="s">
        <v>91</v>
      </c>
      <c r="C7" s="2">
        <v>0.33429999999999999</v>
      </c>
      <c r="D7" s="2">
        <v>0.42830000000000001</v>
      </c>
      <c r="E7" s="2">
        <v>0.46489999999999998</v>
      </c>
      <c r="F7" s="2">
        <v>0.29580000000000001</v>
      </c>
      <c r="G7" s="2">
        <v>0.12770000000000001</v>
      </c>
      <c r="H7" s="2">
        <v>0.21029999999999999</v>
      </c>
      <c r="I7" s="2">
        <v>0.48659999999999998</v>
      </c>
      <c r="O7" s="17">
        <f>I7</f>
        <v>0.48659999999999998</v>
      </c>
      <c r="P7" s="21">
        <f>I21</f>
        <v>0.81630000000000003</v>
      </c>
      <c r="Q7" s="21">
        <f>I30</f>
        <v>0.33629999999999999</v>
      </c>
      <c r="R7" s="21">
        <f>I107/I3</f>
        <v>0.55914904082636496</v>
      </c>
    </row>
    <row r="8" spans="1:38" ht="19" x14ac:dyDescent="0.25">
      <c r="A8" s="5" t="s">
        <v>5</v>
      </c>
      <c r="B8" s="1" t="s">
        <v>91</v>
      </c>
      <c r="C8" s="1">
        <v>3100000</v>
      </c>
      <c r="D8" s="1">
        <v>3100000</v>
      </c>
      <c r="E8" s="1">
        <v>3800000</v>
      </c>
      <c r="F8" s="1">
        <v>3300000</v>
      </c>
      <c r="G8" s="1">
        <v>3700000</v>
      </c>
      <c r="H8" s="1">
        <v>3000000</v>
      </c>
      <c r="I8" s="1">
        <v>3900000</v>
      </c>
    </row>
    <row r="9" spans="1:38" ht="19" customHeight="1" x14ac:dyDescent="0.25">
      <c r="A9" s="14" t="s">
        <v>94</v>
      </c>
      <c r="B9" s="15" t="e">
        <f>B8/B3</f>
        <v>#VALUE!</v>
      </c>
      <c r="C9" s="15">
        <f t="shared" ref="C9:I9" si="2">C8/C3</f>
        <v>1.1737978038621734E-2</v>
      </c>
      <c r="D9" s="15">
        <f t="shared" si="2"/>
        <v>8.9234312032239489E-3</v>
      </c>
      <c r="E9" s="15">
        <f t="shared" si="2"/>
        <v>8.5875706214689259E-3</v>
      </c>
      <c r="F9" s="15">
        <f t="shared" si="2"/>
        <v>8.4963954685890828E-3</v>
      </c>
      <c r="G9" s="15">
        <f t="shared" si="2"/>
        <v>1.2838306731436502E-2</v>
      </c>
      <c r="H9" s="15">
        <f t="shared" si="2"/>
        <v>7.136060894386299E-3</v>
      </c>
      <c r="I9" s="15">
        <f t="shared" si="2"/>
        <v>4.7958681751106742E-3</v>
      </c>
      <c r="J9" s="15"/>
      <c r="K9" s="15"/>
      <c r="O9" s="19" t="s">
        <v>95</v>
      </c>
      <c r="P9" s="20" t="s">
        <v>96</v>
      </c>
      <c r="Q9" s="20" t="s">
        <v>97</v>
      </c>
      <c r="R9" s="20" t="s">
        <v>98</v>
      </c>
    </row>
    <row r="10" spans="1:38" ht="19" x14ac:dyDescent="0.25">
      <c r="A10" s="5" t="s">
        <v>6</v>
      </c>
      <c r="B10" s="1" t="s">
        <v>91</v>
      </c>
      <c r="C10" s="1">
        <v>25200000</v>
      </c>
      <c r="D10" s="1">
        <v>35500000</v>
      </c>
      <c r="E10" s="1">
        <v>36800000</v>
      </c>
      <c r="F10" s="1">
        <v>40500000</v>
      </c>
      <c r="G10" s="1">
        <v>44600000</v>
      </c>
      <c r="H10" s="1" t="s">
        <v>91</v>
      </c>
      <c r="I10" s="1" t="s">
        <v>91</v>
      </c>
      <c r="O10" s="17">
        <f>I9</f>
        <v>4.7958681751106742E-3</v>
      </c>
      <c r="P10" s="21">
        <f>I13</f>
        <v>6.7879980324643388E-2</v>
      </c>
      <c r="Q10" s="21">
        <f>I80</f>
        <v>8.362026561731432E-3</v>
      </c>
      <c r="R10" s="21">
        <f>I89</f>
        <v>0.41428922774225285</v>
      </c>
    </row>
    <row r="11" spans="1:38" ht="19" x14ac:dyDescent="0.25">
      <c r="A11" s="5" t="s">
        <v>7</v>
      </c>
      <c r="B11" s="1" t="s">
        <v>91</v>
      </c>
      <c r="C11" s="1" t="s">
        <v>91</v>
      </c>
      <c r="D11" s="1" t="s">
        <v>91</v>
      </c>
      <c r="E11" s="1" t="s">
        <v>91</v>
      </c>
      <c r="F11" s="1" t="s">
        <v>91</v>
      </c>
      <c r="G11" s="1" t="s">
        <v>91</v>
      </c>
      <c r="H11" s="1" t="s">
        <v>91</v>
      </c>
      <c r="I11" s="1" t="s">
        <v>91</v>
      </c>
    </row>
    <row r="12" spans="1:38" ht="20" x14ac:dyDescent="0.25">
      <c r="A12" s="5" t="s">
        <v>8</v>
      </c>
      <c r="B12" s="1" t="s">
        <v>91</v>
      </c>
      <c r="C12" s="1">
        <v>25200000</v>
      </c>
      <c r="D12" s="1">
        <v>35500000</v>
      </c>
      <c r="E12" s="1">
        <v>36800000</v>
      </c>
      <c r="F12" s="1">
        <v>40500000</v>
      </c>
      <c r="G12" s="1">
        <v>44600000</v>
      </c>
      <c r="H12" s="1">
        <v>49900000</v>
      </c>
      <c r="I12" s="1">
        <v>55200000</v>
      </c>
      <c r="O12" s="19" t="s">
        <v>115</v>
      </c>
      <c r="P12" s="20" t="s">
        <v>116</v>
      </c>
      <c r="Q12" s="20" t="s">
        <v>117</v>
      </c>
      <c r="R12" s="20" t="s">
        <v>118</v>
      </c>
    </row>
    <row r="13" spans="1:38" ht="19" x14ac:dyDescent="0.25">
      <c r="A13" s="14" t="s">
        <v>99</v>
      </c>
      <c r="B13" s="15" t="e">
        <f>B12/B3</f>
        <v>#VALUE!</v>
      </c>
      <c r="C13" s="15">
        <f t="shared" ref="C13:I13" si="3">C12/C3</f>
        <v>9.5418402120408932E-2</v>
      </c>
      <c r="D13" s="15">
        <f t="shared" si="3"/>
        <v>0.10218767990788716</v>
      </c>
      <c r="E13" s="15">
        <f t="shared" si="3"/>
        <v>8.3163841807909603E-2</v>
      </c>
      <c r="F13" s="15">
        <f t="shared" si="3"/>
        <v>0.10427394438722966</v>
      </c>
      <c r="G13" s="15">
        <f t="shared" si="3"/>
        <v>0.15475364330326163</v>
      </c>
      <c r="H13" s="15">
        <f t="shared" si="3"/>
        <v>0.1186964795432921</v>
      </c>
      <c r="I13" s="15">
        <f t="shared" si="3"/>
        <v>6.7879980324643388E-2</v>
      </c>
      <c r="J13" s="15"/>
      <c r="K13" s="15"/>
      <c r="O13" s="17">
        <f>I28/I72</f>
        <v>0.19085833914863923</v>
      </c>
      <c r="P13" s="21">
        <f>I28/I54</f>
        <v>0.13185806576029313</v>
      </c>
      <c r="Q13" s="21">
        <f>I22/(I72+I56+I61)</f>
        <v>0.19607140724819391</v>
      </c>
      <c r="R13" s="32">
        <f>I67/I72</f>
        <v>0.27257501744591767</v>
      </c>
    </row>
    <row r="14" spans="1:38" ht="19" x14ac:dyDescent="0.25">
      <c r="A14" s="5" t="s">
        <v>9</v>
      </c>
      <c r="B14" s="1" t="s">
        <v>91</v>
      </c>
      <c r="C14" s="1" t="s">
        <v>91</v>
      </c>
      <c r="D14" s="1" t="s">
        <v>91</v>
      </c>
      <c r="E14" s="1" t="s">
        <v>91</v>
      </c>
      <c r="F14" s="1" t="s">
        <v>91</v>
      </c>
      <c r="G14" s="1" t="s">
        <v>91</v>
      </c>
      <c r="H14" s="1" t="s">
        <v>91</v>
      </c>
      <c r="I14" s="1">
        <v>8200000</v>
      </c>
    </row>
    <row r="15" spans="1:38" ht="20" x14ac:dyDescent="0.25">
      <c r="A15" s="5" t="s">
        <v>10</v>
      </c>
      <c r="B15" s="1" t="s">
        <v>91</v>
      </c>
      <c r="C15" s="1">
        <v>28300000</v>
      </c>
      <c r="D15" s="1">
        <v>38600000</v>
      </c>
      <c r="E15" s="1">
        <v>40600000</v>
      </c>
      <c r="F15" s="1">
        <v>43800000</v>
      </c>
      <c r="G15" s="1">
        <v>48300000</v>
      </c>
      <c r="H15" s="1">
        <v>52900000</v>
      </c>
      <c r="I15" s="1">
        <v>67300000</v>
      </c>
      <c r="O15" s="19" t="s">
        <v>155</v>
      </c>
      <c r="P15" s="20" t="s">
        <v>119</v>
      </c>
      <c r="Q15" s="20" t="s">
        <v>120</v>
      </c>
      <c r="R15" s="20" t="s">
        <v>121</v>
      </c>
    </row>
    <row r="16" spans="1:38" ht="19" x14ac:dyDescent="0.25">
      <c r="A16" s="5" t="s">
        <v>11</v>
      </c>
      <c r="B16" s="1" t="s">
        <v>91</v>
      </c>
      <c r="C16" s="1">
        <v>204100000</v>
      </c>
      <c r="D16" s="1">
        <v>237200000</v>
      </c>
      <c r="E16" s="1">
        <v>277400000</v>
      </c>
      <c r="F16" s="1">
        <v>317300000</v>
      </c>
      <c r="G16" s="1">
        <v>299700000</v>
      </c>
      <c r="H16" s="1">
        <v>384900000</v>
      </c>
      <c r="I16" s="1">
        <v>484800000</v>
      </c>
      <c r="O16" s="25">
        <f>(I35+H35+G35+F35+E35)/5</f>
        <v>8.3402160590696592E-2</v>
      </c>
      <c r="P16" s="30">
        <f>Q101/I3</f>
        <v>6.2665381751106741</v>
      </c>
      <c r="Q16" s="30">
        <f>Q101/I28</f>
        <v>18.632354091407677</v>
      </c>
      <c r="R16" s="31">
        <f>Q101/I107</f>
        <v>11.207276982625908</v>
      </c>
    </row>
    <row r="17" spans="1:18" ht="19" x14ac:dyDescent="0.25">
      <c r="A17" s="5" t="s">
        <v>12</v>
      </c>
      <c r="B17" s="1" t="s">
        <v>91</v>
      </c>
      <c r="C17" s="1" t="s">
        <v>91</v>
      </c>
      <c r="D17" s="1" t="s">
        <v>91</v>
      </c>
      <c r="E17" s="1" t="s">
        <v>91</v>
      </c>
      <c r="F17" s="1" t="s">
        <v>91</v>
      </c>
      <c r="G17" s="1">
        <v>3700000</v>
      </c>
      <c r="H17" s="1">
        <v>29700000</v>
      </c>
      <c r="I17" s="1">
        <v>328400000</v>
      </c>
    </row>
    <row r="18" spans="1:18" ht="20" x14ac:dyDescent="0.25">
      <c r="A18" s="5" t="s">
        <v>13</v>
      </c>
      <c r="B18" s="1" t="s">
        <v>91</v>
      </c>
      <c r="C18" s="1">
        <v>14800000</v>
      </c>
      <c r="D18" s="1">
        <v>15900000</v>
      </c>
      <c r="E18" s="1">
        <v>17800000</v>
      </c>
      <c r="F18" s="1">
        <v>20900000</v>
      </c>
      <c r="G18" s="1">
        <v>25000000</v>
      </c>
      <c r="H18" s="1">
        <v>25100000</v>
      </c>
      <c r="I18" s="1" t="s">
        <v>91</v>
      </c>
      <c r="O18" s="19" t="s">
        <v>122</v>
      </c>
      <c r="P18" s="20" t="s">
        <v>156</v>
      </c>
      <c r="Q18" s="20" t="s">
        <v>157</v>
      </c>
      <c r="R18" s="20" t="s">
        <v>164</v>
      </c>
    </row>
    <row r="19" spans="1:18" ht="19" x14ac:dyDescent="0.25">
      <c r="A19" s="6" t="s">
        <v>14</v>
      </c>
      <c r="B19" s="10" t="s">
        <v>91</v>
      </c>
      <c r="C19" s="10">
        <v>69300000</v>
      </c>
      <c r="D19" s="10">
        <v>86000000</v>
      </c>
      <c r="E19" s="10">
        <v>170900000</v>
      </c>
      <c r="F19" s="10">
        <v>78700000</v>
      </c>
      <c r="G19" s="10">
        <v>3300000</v>
      </c>
      <c r="H19" s="10">
        <v>78700000</v>
      </c>
      <c r="I19" s="10">
        <v>663800000</v>
      </c>
      <c r="J19" s="33">
        <v>570500000</v>
      </c>
      <c r="K19" s="33">
        <v>670000000</v>
      </c>
      <c r="L19" s="33">
        <v>683000000</v>
      </c>
      <c r="M19" s="33">
        <v>884900000</v>
      </c>
      <c r="N19" s="33">
        <v>1177000000</v>
      </c>
      <c r="O19" s="26">
        <f>I40-I56-I61</f>
        <v>-52900000</v>
      </c>
      <c r="P19" s="30">
        <f>Q101/J3</f>
        <v>4.6880854130634777</v>
      </c>
      <c r="Q19" s="37">
        <f>Q101/J28</f>
        <v>11.853800521051408</v>
      </c>
      <c r="R19" s="31">
        <f>Q101/J106</f>
        <v>139.91018982511051</v>
      </c>
    </row>
    <row r="20" spans="1:18" ht="19" customHeight="1" x14ac:dyDescent="0.25">
      <c r="A20" s="14" t="s">
        <v>100</v>
      </c>
      <c r="B20" s="1"/>
      <c r="C20" s="15" t="e">
        <f>(C19/B19)-1</f>
        <v>#VALUE!</v>
      </c>
      <c r="D20" s="15">
        <f>(D19/C19)-1</f>
        <v>0.24098124098124107</v>
      </c>
      <c r="E20" s="15">
        <f>(E19/D19)-1</f>
        <v>0.98720930232558146</v>
      </c>
      <c r="F20" s="15">
        <f t="shared" ref="F20:I20" si="4">(F19/E19)-1</f>
        <v>-0.53949678174370974</v>
      </c>
      <c r="G20" s="15">
        <f t="shared" si="4"/>
        <v>-0.95806861499364682</v>
      </c>
      <c r="H20" s="15">
        <f t="shared" si="4"/>
        <v>22.848484848484848</v>
      </c>
      <c r="I20" s="15">
        <f t="shared" si="4"/>
        <v>7.4345616264294794</v>
      </c>
      <c r="J20" s="16">
        <f t="shared" ref="J20" si="5">(J19/I19)-1</f>
        <v>-0.14055438385055741</v>
      </c>
      <c r="K20" s="16">
        <f t="shared" ref="K20" si="6">(K19/J19)-1</f>
        <v>0.17440841367221727</v>
      </c>
      <c r="L20" s="16">
        <f t="shared" ref="L20" si="7">(L19/K19)-1</f>
        <v>1.9402985074626899E-2</v>
      </c>
      <c r="M20" s="16">
        <f t="shared" ref="M20" si="8">(M19/L19)-1</f>
        <v>0.29560761346998543</v>
      </c>
      <c r="N20" s="16">
        <f t="shared" ref="N20" si="9">(N19/M19)-1</f>
        <v>0.33009379590914234</v>
      </c>
    </row>
    <row r="21" spans="1:18" ht="20" x14ac:dyDescent="0.25">
      <c r="A21" s="5" t="s">
        <v>15</v>
      </c>
      <c r="B21" s="2" t="s">
        <v>91</v>
      </c>
      <c r="C21" s="2">
        <v>0.26240000000000002</v>
      </c>
      <c r="D21" s="2">
        <v>0.24759999999999999</v>
      </c>
      <c r="E21" s="2">
        <v>0.38619999999999999</v>
      </c>
      <c r="F21" s="2">
        <v>0.2026</v>
      </c>
      <c r="G21" s="2">
        <v>1.15E-2</v>
      </c>
      <c r="H21" s="2">
        <v>0.18720000000000001</v>
      </c>
      <c r="I21" s="2">
        <v>0.81630000000000003</v>
      </c>
      <c r="J21" s="34">
        <f t="shared" ref="J21:M21" si="10">J19/J3</f>
        <v>0.52483900643974246</v>
      </c>
      <c r="K21" s="34">
        <f t="shared" si="10"/>
        <v>0.48132183908045978</v>
      </c>
      <c r="L21" s="34">
        <f t="shared" si="10"/>
        <v>0.45962314939434723</v>
      </c>
      <c r="M21" s="34">
        <f t="shared" si="10"/>
        <v>0.59429147078576228</v>
      </c>
      <c r="N21" s="34">
        <f>N19/N3</f>
        <v>0.53597449908925321</v>
      </c>
      <c r="Q21" s="19" t="s">
        <v>165</v>
      </c>
      <c r="R21" s="20" t="s">
        <v>166</v>
      </c>
    </row>
    <row r="22" spans="1:18" ht="19" x14ac:dyDescent="0.25">
      <c r="A22" s="6" t="s">
        <v>16</v>
      </c>
      <c r="B22" s="10" t="s">
        <v>91</v>
      </c>
      <c r="C22" s="10">
        <v>60000000</v>
      </c>
      <c r="D22" s="10">
        <v>110200000</v>
      </c>
      <c r="E22" s="10">
        <v>165100000</v>
      </c>
      <c r="F22" s="10">
        <v>71100000</v>
      </c>
      <c r="G22" s="10">
        <v>-16000000</v>
      </c>
      <c r="H22" s="10">
        <v>31900000</v>
      </c>
      <c r="I22" s="10">
        <v>328400000</v>
      </c>
      <c r="Q22" s="40">
        <f>(-1*I98)/Q101</f>
        <v>0</v>
      </c>
      <c r="R22" s="41">
        <f>I107/Q101</f>
        <v>8.922774029322654E-2</v>
      </c>
    </row>
    <row r="23" spans="1:18" ht="19" x14ac:dyDescent="0.25">
      <c r="A23" s="5" t="s">
        <v>17</v>
      </c>
      <c r="B23" s="2" t="s">
        <v>91</v>
      </c>
      <c r="C23" s="2">
        <v>0.22720000000000001</v>
      </c>
      <c r="D23" s="2">
        <v>0.31719999999999998</v>
      </c>
      <c r="E23" s="2">
        <v>0.37309999999999999</v>
      </c>
      <c r="F23" s="2">
        <v>0.18310000000000001</v>
      </c>
      <c r="G23" s="2">
        <v>-5.5500000000000001E-2</v>
      </c>
      <c r="H23" s="2">
        <v>7.5899999999999995E-2</v>
      </c>
      <c r="I23" s="2">
        <v>0.40379999999999999</v>
      </c>
    </row>
    <row r="24" spans="1:18" ht="19" x14ac:dyDescent="0.25">
      <c r="A24" s="5" t="s">
        <v>18</v>
      </c>
      <c r="B24" s="1" t="s">
        <v>91</v>
      </c>
      <c r="C24" s="1">
        <v>-5500000</v>
      </c>
      <c r="D24" s="1">
        <v>-40100000</v>
      </c>
      <c r="E24" s="1">
        <v>-12000000</v>
      </c>
      <c r="F24" s="1">
        <v>-13300000</v>
      </c>
      <c r="G24" s="1">
        <v>-9400000</v>
      </c>
      <c r="H24" s="1">
        <v>-8000000</v>
      </c>
      <c r="I24" s="1">
        <v>7000000</v>
      </c>
    </row>
    <row r="25" spans="1:18" ht="19" x14ac:dyDescent="0.25">
      <c r="A25" s="6" t="s">
        <v>19</v>
      </c>
      <c r="B25" s="10" t="s">
        <v>91</v>
      </c>
      <c r="C25" s="10">
        <v>54500000</v>
      </c>
      <c r="D25" s="10">
        <v>70100000</v>
      </c>
      <c r="E25" s="10">
        <v>153100000</v>
      </c>
      <c r="F25" s="10">
        <v>57800000</v>
      </c>
      <c r="G25" s="10">
        <v>-25400000</v>
      </c>
      <c r="H25" s="10">
        <v>23900000</v>
      </c>
      <c r="I25" s="10">
        <v>335400000</v>
      </c>
    </row>
    <row r="26" spans="1:18" ht="19" x14ac:dyDescent="0.25">
      <c r="A26" s="5" t="s">
        <v>20</v>
      </c>
      <c r="B26" s="2" t="s">
        <v>91</v>
      </c>
      <c r="C26" s="2">
        <v>0.2064</v>
      </c>
      <c r="D26" s="2">
        <v>0.20180000000000001</v>
      </c>
      <c r="E26" s="2">
        <v>0.34599999999999997</v>
      </c>
      <c r="F26" s="2">
        <v>0.14879999999999999</v>
      </c>
      <c r="G26" s="2">
        <v>-8.8099999999999998E-2</v>
      </c>
      <c r="H26" s="2">
        <v>5.6899999999999999E-2</v>
      </c>
      <c r="I26" s="2">
        <v>0.41239999999999999</v>
      </c>
    </row>
    <row r="27" spans="1:18" ht="19" x14ac:dyDescent="0.25">
      <c r="A27" s="5" t="s">
        <v>21</v>
      </c>
      <c r="B27" s="1" t="s">
        <v>91</v>
      </c>
      <c r="C27" s="1">
        <v>7400000</v>
      </c>
      <c r="D27" s="1">
        <v>27900000</v>
      </c>
      <c r="E27" s="1">
        <v>27000000</v>
      </c>
      <c r="F27" s="1">
        <v>7600000</v>
      </c>
      <c r="G27" s="1">
        <v>-6500000</v>
      </c>
      <c r="H27" s="1">
        <v>23300000</v>
      </c>
      <c r="I27" s="1">
        <v>61900000</v>
      </c>
    </row>
    <row r="28" spans="1:18" ht="20" thickBot="1" x14ac:dyDescent="0.3">
      <c r="A28" s="7" t="s">
        <v>22</v>
      </c>
      <c r="B28" s="11" t="s">
        <v>91</v>
      </c>
      <c r="C28" s="11">
        <v>47100000</v>
      </c>
      <c r="D28" s="11">
        <v>42200000</v>
      </c>
      <c r="E28" s="11">
        <v>126100000</v>
      </c>
      <c r="F28" s="11">
        <v>50200000</v>
      </c>
      <c r="G28" s="11">
        <v>-18900000</v>
      </c>
      <c r="H28" s="11">
        <v>600000</v>
      </c>
      <c r="I28" s="11">
        <v>273500000</v>
      </c>
      <c r="J28" s="35">
        <v>429900000</v>
      </c>
      <c r="K28" s="35">
        <v>522300000</v>
      </c>
      <c r="L28" s="35">
        <v>660400000</v>
      </c>
      <c r="M28" s="35">
        <v>687000000</v>
      </c>
      <c r="N28" s="35">
        <v>1013000000</v>
      </c>
    </row>
    <row r="29" spans="1:18" ht="20" customHeight="1" thickTop="1" x14ac:dyDescent="0.25">
      <c r="A29" s="14" t="s">
        <v>101</v>
      </c>
      <c r="B29" s="1"/>
      <c r="C29" s="15" t="e">
        <f>(C28/B28)-1</f>
        <v>#VALUE!</v>
      </c>
      <c r="D29" s="15">
        <f>(D28/C28)-1</f>
        <v>-0.10403397027600847</v>
      </c>
      <c r="E29" s="15">
        <f>(E28/D28)-1</f>
        <v>1.9881516587677726</v>
      </c>
      <c r="F29" s="15">
        <f t="shared" ref="F29:I29" si="11">(F28/E28)-1</f>
        <v>-0.60190325138778755</v>
      </c>
      <c r="G29" s="15">
        <f t="shared" si="11"/>
        <v>-1.3764940239043826</v>
      </c>
      <c r="H29" s="15">
        <f t="shared" si="11"/>
        <v>-1.0317460317460316</v>
      </c>
      <c r="I29" s="15">
        <f t="shared" si="11"/>
        <v>454.83333333333331</v>
      </c>
      <c r="J29" s="16">
        <f t="shared" ref="J29" si="12">(J28/I28)-1</f>
        <v>0.57184643510054856</v>
      </c>
      <c r="K29" s="16">
        <f t="shared" ref="K29" si="13">(K28/J28)-1</f>
        <v>0.21493370551290991</v>
      </c>
      <c r="L29" s="16">
        <f t="shared" ref="L29" si="14">(L28/K28)-1</f>
        <v>0.26440742868083467</v>
      </c>
      <c r="M29" s="16">
        <f t="shared" ref="M29" si="15">(M28/L28)-1</f>
        <v>4.0278619018776496E-2</v>
      </c>
      <c r="N29" s="16">
        <f t="shared" ref="N29" si="16">(N28/M28)-1</f>
        <v>0.47452692867540036</v>
      </c>
    </row>
    <row r="30" spans="1:18" ht="19" x14ac:dyDescent="0.25">
      <c r="A30" s="5" t="s">
        <v>23</v>
      </c>
      <c r="B30" s="2" t="s">
        <v>91</v>
      </c>
      <c r="C30" s="2">
        <v>0.17829999999999999</v>
      </c>
      <c r="D30" s="2">
        <v>0.1215</v>
      </c>
      <c r="E30" s="2">
        <v>0.28499999999999998</v>
      </c>
      <c r="F30" s="2">
        <v>0.12920000000000001</v>
      </c>
      <c r="G30" s="2">
        <v>-6.5600000000000006E-2</v>
      </c>
      <c r="H30" s="2">
        <v>1.4E-3</v>
      </c>
      <c r="I30" s="2">
        <v>0.33629999999999999</v>
      </c>
      <c r="J30" s="36">
        <f>J28/J3</f>
        <v>0.39549218031278749</v>
      </c>
      <c r="K30" s="36">
        <f t="shared" ref="K30:N30" si="17">K28/K3</f>
        <v>0.3752155172413793</v>
      </c>
      <c r="L30" s="36">
        <f t="shared" si="17"/>
        <v>0.44441453566621802</v>
      </c>
      <c r="M30" s="36">
        <f t="shared" si="17"/>
        <v>0.4613834788448623</v>
      </c>
      <c r="N30" s="36">
        <f t="shared" si="17"/>
        <v>0.46129326047358832</v>
      </c>
    </row>
    <row r="31" spans="1:18" ht="19" x14ac:dyDescent="0.25">
      <c r="A31" s="5" t="s">
        <v>24</v>
      </c>
      <c r="B31" s="12" t="s">
        <v>91</v>
      </c>
      <c r="C31" s="12">
        <v>0.33</v>
      </c>
      <c r="D31" s="12">
        <v>0.28999999999999998</v>
      </c>
      <c r="E31" s="12">
        <v>0.99</v>
      </c>
      <c r="F31" s="12">
        <v>0.34</v>
      </c>
      <c r="G31" s="12">
        <v>-0.13</v>
      </c>
      <c r="H31" s="12" t="s">
        <v>90</v>
      </c>
      <c r="I31" s="12">
        <v>1.59</v>
      </c>
    </row>
    <row r="32" spans="1:18" ht="19" x14ac:dyDescent="0.25">
      <c r="A32" s="5" t="s">
        <v>25</v>
      </c>
      <c r="B32" s="12" t="s">
        <v>91</v>
      </c>
      <c r="C32" s="12">
        <v>0.33</v>
      </c>
      <c r="D32" s="12">
        <v>0.28999999999999998</v>
      </c>
      <c r="E32" s="12">
        <v>0.99</v>
      </c>
      <c r="F32" s="12">
        <v>0.34</v>
      </c>
      <c r="G32" s="12">
        <v>-0.13</v>
      </c>
      <c r="H32" s="12" t="s">
        <v>90</v>
      </c>
      <c r="I32" s="12">
        <v>1.36</v>
      </c>
    </row>
    <row r="33" spans="1:9" ht="19" x14ac:dyDescent="0.25">
      <c r="A33" s="5" t="s">
        <v>26</v>
      </c>
      <c r="B33" s="1" t="s">
        <v>91</v>
      </c>
      <c r="C33" s="1">
        <v>143000000</v>
      </c>
      <c r="D33" s="1">
        <v>143000000</v>
      </c>
      <c r="E33" s="1">
        <v>127700000</v>
      </c>
      <c r="F33" s="1">
        <v>146000000</v>
      </c>
      <c r="G33" s="1">
        <v>146200000</v>
      </c>
      <c r="H33" s="1">
        <v>146200000</v>
      </c>
      <c r="I33" s="1">
        <v>171800000</v>
      </c>
    </row>
    <row r="34" spans="1:9" ht="19" x14ac:dyDescent="0.25">
      <c r="A34" s="5" t="s">
        <v>27</v>
      </c>
      <c r="B34" s="1" t="s">
        <v>91</v>
      </c>
      <c r="C34" s="1">
        <v>143000000</v>
      </c>
      <c r="D34" s="1">
        <v>143000000</v>
      </c>
      <c r="E34" s="1">
        <v>127700000</v>
      </c>
      <c r="F34" s="1">
        <v>146400000</v>
      </c>
      <c r="G34" s="1">
        <v>146200000</v>
      </c>
      <c r="H34" s="1">
        <v>146200000</v>
      </c>
      <c r="I34" s="1">
        <v>201600000</v>
      </c>
    </row>
    <row r="35" spans="1:9" ht="20" customHeight="1" x14ac:dyDescent="0.25">
      <c r="A35" s="14" t="s">
        <v>102</v>
      </c>
      <c r="B35" s="1"/>
      <c r="C35" s="22" t="e">
        <f>(C34-B34)/B34</f>
        <v>#VALUE!</v>
      </c>
      <c r="D35" s="22">
        <f t="shared" ref="D35:I35" si="18">(D34-C34)/C34</f>
        <v>0</v>
      </c>
      <c r="E35" s="22">
        <f t="shared" si="18"/>
        <v>-0.106993006993007</v>
      </c>
      <c r="F35" s="22">
        <f t="shared" si="18"/>
        <v>0.14643696162881753</v>
      </c>
      <c r="G35" s="22">
        <f t="shared" si="18"/>
        <v>-1.366120218579235E-3</v>
      </c>
      <c r="H35" s="22">
        <f t="shared" si="18"/>
        <v>0</v>
      </c>
      <c r="I35" s="22">
        <f t="shared" si="18"/>
        <v>0.37893296853625169</v>
      </c>
    </row>
    <row r="36" spans="1:9" ht="19" x14ac:dyDescent="0.25">
      <c r="A36" s="5" t="s">
        <v>28</v>
      </c>
      <c r="B36" s="13" t="s">
        <v>92</v>
      </c>
      <c r="C36" s="13" t="s">
        <v>92</v>
      </c>
      <c r="D36" s="13" t="s">
        <v>92</v>
      </c>
      <c r="E36" s="13" t="s">
        <v>92</v>
      </c>
      <c r="F36" s="13" t="s">
        <v>92</v>
      </c>
      <c r="G36" s="13" t="s">
        <v>92</v>
      </c>
      <c r="H36" s="13" t="s">
        <v>92</v>
      </c>
      <c r="I36" s="13" t="s">
        <v>92</v>
      </c>
    </row>
    <row r="37" spans="1:9" ht="21" x14ac:dyDescent="0.25">
      <c r="A37" s="4" t="s">
        <v>29</v>
      </c>
      <c r="B37" s="9" t="s">
        <v>90</v>
      </c>
      <c r="C37" s="9" t="s">
        <v>90</v>
      </c>
      <c r="D37" s="9" t="s">
        <v>90</v>
      </c>
      <c r="E37" s="9" t="s">
        <v>90</v>
      </c>
      <c r="F37" s="9" t="s">
        <v>90</v>
      </c>
      <c r="G37" s="9" t="s">
        <v>90</v>
      </c>
      <c r="H37" s="9" t="s">
        <v>90</v>
      </c>
      <c r="I37" s="9" t="s">
        <v>90</v>
      </c>
    </row>
    <row r="38" spans="1:9" ht="19" x14ac:dyDescent="0.25">
      <c r="A38" s="5" t="s">
        <v>30</v>
      </c>
      <c r="B38" s="1" t="s">
        <v>91</v>
      </c>
      <c r="C38" s="1">
        <v>1200000</v>
      </c>
      <c r="D38" s="1">
        <v>28300000</v>
      </c>
      <c r="E38" s="1">
        <v>16800000</v>
      </c>
      <c r="F38" s="1">
        <v>11600000</v>
      </c>
      <c r="G38" s="1">
        <v>113000000</v>
      </c>
      <c r="H38" s="1">
        <v>211600000</v>
      </c>
      <c r="I38" s="1">
        <v>189000000</v>
      </c>
    </row>
    <row r="39" spans="1:9" ht="19" x14ac:dyDescent="0.25">
      <c r="A39" s="5" t="s">
        <v>31</v>
      </c>
      <c r="B39" s="1" t="s">
        <v>91</v>
      </c>
      <c r="C39" s="1" t="s">
        <v>91</v>
      </c>
      <c r="D39" s="1" t="s">
        <v>91</v>
      </c>
      <c r="E39" s="1" t="s">
        <v>91</v>
      </c>
      <c r="F39" s="1">
        <v>23000000</v>
      </c>
      <c r="G39" s="1" t="s">
        <v>91</v>
      </c>
      <c r="H39" s="1" t="s">
        <v>91</v>
      </c>
      <c r="I39" s="1" t="s">
        <v>91</v>
      </c>
    </row>
    <row r="40" spans="1:9" ht="19" x14ac:dyDescent="0.25">
      <c r="A40" s="5" t="s">
        <v>32</v>
      </c>
      <c r="B40" s="1" t="s">
        <v>91</v>
      </c>
      <c r="C40" s="1">
        <v>1200000</v>
      </c>
      <c r="D40" s="1">
        <v>28300000</v>
      </c>
      <c r="E40" s="1">
        <v>16800000</v>
      </c>
      <c r="F40" s="1">
        <v>34600000</v>
      </c>
      <c r="G40" s="1">
        <v>113000000</v>
      </c>
      <c r="H40" s="1">
        <v>211600000</v>
      </c>
      <c r="I40" s="1">
        <v>189000000</v>
      </c>
    </row>
    <row r="41" spans="1:9" ht="19" x14ac:dyDescent="0.25">
      <c r="A41" s="5" t="s">
        <v>33</v>
      </c>
      <c r="B41" s="1" t="s">
        <v>91</v>
      </c>
      <c r="C41" s="1">
        <v>146300000</v>
      </c>
      <c r="D41" s="1">
        <v>141400000</v>
      </c>
      <c r="E41" s="1">
        <v>121800000</v>
      </c>
      <c r="F41" s="1">
        <v>76300000</v>
      </c>
      <c r="G41" s="1">
        <v>96400000</v>
      </c>
      <c r="H41" s="1">
        <v>164000000</v>
      </c>
      <c r="I41" s="1">
        <v>141600000</v>
      </c>
    </row>
    <row r="42" spans="1:9" ht="19" x14ac:dyDescent="0.25">
      <c r="A42" s="5" t="s">
        <v>34</v>
      </c>
      <c r="B42" s="1" t="s">
        <v>91</v>
      </c>
      <c r="C42" s="1">
        <v>49600000</v>
      </c>
      <c r="D42" s="1">
        <v>71800000</v>
      </c>
      <c r="E42" s="1">
        <v>113400000</v>
      </c>
      <c r="F42" s="1">
        <v>105600000</v>
      </c>
      <c r="G42" s="1">
        <v>134600000</v>
      </c>
      <c r="H42" s="1">
        <v>141800000</v>
      </c>
      <c r="I42" s="1">
        <v>152300000</v>
      </c>
    </row>
    <row r="43" spans="1:9" ht="19" x14ac:dyDescent="0.25">
      <c r="A43" s="5" t="s">
        <v>35</v>
      </c>
      <c r="B43" s="1" t="s">
        <v>91</v>
      </c>
      <c r="C43" s="1">
        <v>9000000</v>
      </c>
      <c r="D43" s="1">
        <v>59800000</v>
      </c>
      <c r="E43" s="1">
        <v>20000000</v>
      </c>
      <c r="F43" s="1">
        <v>33300000</v>
      </c>
      <c r="G43" s="1">
        <v>55300000</v>
      </c>
      <c r="H43" s="1">
        <v>56500000</v>
      </c>
      <c r="I43" s="1">
        <v>61100000</v>
      </c>
    </row>
    <row r="44" spans="1:9" ht="19" x14ac:dyDescent="0.25">
      <c r="A44" s="6" t="s">
        <v>36</v>
      </c>
      <c r="B44" s="10" t="s">
        <v>91</v>
      </c>
      <c r="C44" s="10">
        <v>206100000</v>
      </c>
      <c r="D44" s="10">
        <v>301300000</v>
      </c>
      <c r="E44" s="10">
        <v>272000000</v>
      </c>
      <c r="F44" s="10">
        <v>249800000</v>
      </c>
      <c r="G44" s="10">
        <v>399300000</v>
      </c>
      <c r="H44" s="10">
        <v>573900000</v>
      </c>
      <c r="I44" s="10">
        <v>544000000</v>
      </c>
    </row>
    <row r="45" spans="1:9" ht="19" x14ac:dyDescent="0.25">
      <c r="A45" s="5" t="s">
        <v>37</v>
      </c>
      <c r="B45" s="1" t="s">
        <v>91</v>
      </c>
      <c r="C45" s="1">
        <v>220700000</v>
      </c>
      <c r="D45" s="1">
        <v>275700000</v>
      </c>
      <c r="E45" s="1">
        <v>485700000</v>
      </c>
      <c r="F45" s="1">
        <v>561400000</v>
      </c>
      <c r="G45" s="1">
        <v>684200000</v>
      </c>
      <c r="H45" s="1">
        <v>887100000</v>
      </c>
      <c r="I45" s="1">
        <v>973100000</v>
      </c>
    </row>
    <row r="46" spans="1:9" ht="19" x14ac:dyDescent="0.25">
      <c r="A46" s="5" t="s">
        <v>38</v>
      </c>
      <c r="B46" s="1" t="s">
        <v>91</v>
      </c>
      <c r="C46" s="1" t="s">
        <v>91</v>
      </c>
      <c r="D46" s="1" t="s">
        <v>91</v>
      </c>
      <c r="E46" s="1" t="s">
        <v>91</v>
      </c>
      <c r="F46" s="1" t="s">
        <v>91</v>
      </c>
      <c r="G46" s="1" t="s">
        <v>91</v>
      </c>
      <c r="H46" s="1" t="s">
        <v>91</v>
      </c>
      <c r="I46" s="1" t="s">
        <v>91</v>
      </c>
    </row>
    <row r="47" spans="1:9" ht="19" x14ac:dyDescent="0.25">
      <c r="A47" s="5" t="s">
        <v>39</v>
      </c>
      <c r="B47" s="1" t="s">
        <v>91</v>
      </c>
      <c r="C47" s="1">
        <v>2300000</v>
      </c>
      <c r="D47" s="1" t="s">
        <v>91</v>
      </c>
      <c r="E47" s="1">
        <v>1100000</v>
      </c>
      <c r="F47" s="1" t="s">
        <v>91</v>
      </c>
      <c r="G47" s="1" t="s">
        <v>91</v>
      </c>
      <c r="H47" s="1" t="s">
        <v>91</v>
      </c>
      <c r="I47" s="1" t="s">
        <v>91</v>
      </c>
    </row>
    <row r="48" spans="1:9" ht="19" x14ac:dyDescent="0.25">
      <c r="A48" s="5" t="s">
        <v>40</v>
      </c>
      <c r="B48" s="1" t="s">
        <v>91</v>
      </c>
      <c r="C48" s="1">
        <v>2300000</v>
      </c>
      <c r="D48" s="1" t="s">
        <v>91</v>
      </c>
      <c r="E48" s="1">
        <v>1100000</v>
      </c>
      <c r="F48" s="1" t="s">
        <v>91</v>
      </c>
      <c r="G48" s="1" t="s">
        <v>91</v>
      </c>
      <c r="H48" s="1" t="s">
        <v>91</v>
      </c>
      <c r="I48" s="1" t="s">
        <v>91</v>
      </c>
    </row>
    <row r="49" spans="1:9" ht="19" x14ac:dyDescent="0.25">
      <c r="A49" s="5" t="s">
        <v>41</v>
      </c>
      <c r="B49" s="1" t="s">
        <v>91</v>
      </c>
      <c r="C49" s="1" t="s">
        <v>91</v>
      </c>
      <c r="D49" s="1" t="s">
        <v>91</v>
      </c>
      <c r="E49" s="1">
        <v>2200000</v>
      </c>
      <c r="F49" s="1">
        <v>23800000</v>
      </c>
      <c r="G49" s="1">
        <v>27200000</v>
      </c>
      <c r="H49" s="1">
        <v>433900000</v>
      </c>
      <c r="I49" s="1">
        <v>440300000</v>
      </c>
    </row>
    <row r="50" spans="1:9" ht="19" x14ac:dyDescent="0.25">
      <c r="A50" s="5" t="s">
        <v>42</v>
      </c>
      <c r="B50" s="1" t="s">
        <v>91</v>
      </c>
      <c r="C50" s="1">
        <v>2400000</v>
      </c>
      <c r="D50" s="1">
        <v>3000000</v>
      </c>
      <c r="E50" s="1">
        <v>8200000</v>
      </c>
      <c r="F50" s="1">
        <v>13400000</v>
      </c>
      <c r="G50" s="1">
        <v>900000</v>
      </c>
      <c r="H50" s="1">
        <v>500000</v>
      </c>
      <c r="I50" s="1">
        <v>400000</v>
      </c>
    </row>
    <row r="51" spans="1:9" ht="19" x14ac:dyDescent="0.25">
      <c r="A51" s="5" t="s">
        <v>43</v>
      </c>
      <c r="B51" s="1" t="s">
        <v>91</v>
      </c>
      <c r="C51" s="1">
        <v>64700000</v>
      </c>
      <c r="D51" s="1">
        <v>80000000</v>
      </c>
      <c r="E51" s="1">
        <v>90400000</v>
      </c>
      <c r="F51" s="1">
        <v>88400000</v>
      </c>
      <c r="G51" s="1">
        <v>90900000</v>
      </c>
      <c r="H51" s="1">
        <v>111900000</v>
      </c>
      <c r="I51" s="1">
        <v>116400000</v>
      </c>
    </row>
    <row r="52" spans="1:9" ht="19" x14ac:dyDescent="0.25">
      <c r="A52" s="5" t="s">
        <v>44</v>
      </c>
      <c r="B52" s="1" t="s">
        <v>91</v>
      </c>
      <c r="C52" s="1">
        <v>290100000</v>
      </c>
      <c r="D52" s="1">
        <v>358700000</v>
      </c>
      <c r="E52" s="1">
        <v>587600000</v>
      </c>
      <c r="F52" s="1">
        <v>687000000</v>
      </c>
      <c r="G52" s="1">
        <v>803200000</v>
      </c>
      <c r="H52" s="1">
        <v>1433400000</v>
      </c>
      <c r="I52" s="1">
        <v>1530200000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496200000</v>
      </c>
      <c r="D54" s="11">
        <v>660000000</v>
      </c>
      <c r="E54" s="11">
        <v>859600000</v>
      </c>
      <c r="F54" s="11">
        <v>936800000</v>
      </c>
      <c r="G54" s="11">
        <v>1202500000</v>
      </c>
      <c r="H54" s="11">
        <v>2007300000</v>
      </c>
      <c r="I54" s="11">
        <v>2074200000</v>
      </c>
    </row>
    <row r="55" spans="1:9" ht="19" x14ac:dyDescent="0.25">
      <c r="A55" s="5" t="s">
        <v>47</v>
      </c>
      <c r="B55" s="1" t="s">
        <v>91</v>
      </c>
      <c r="C55" s="1">
        <v>59700000</v>
      </c>
      <c r="D55" s="1">
        <v>72000000</v>
      </c>
      <c r="E55" s="1">
        <v>83100000</v>
      </c>
      <c r="F55" s="1">
        <v>43900000</v>
      </c>
      <c r="G55" s="1">
        <v>65400000</v>
      </c>
      <c r="H55" s="1" t="s">
        <v>91</v>
      </c>
      <c r="I55" s="1" t="s">
        <v>91</v>
      </c>
    </row>
    <row r="56" spans="1:9" ht="19" x14ac:dyDescent="0.25">
      <c r="A56" s="5" t="s">
        <v>48</v>
      </c>
      <c r="B56" s="1" t="s">
        <v>91</v>
      </c>
      <c r="C56" s="1" t="s">
        <v>91</v>
      </c>
      <c r="D56" s="1" t="s">
        <v>91</v>
      </c>
      <c r="E56" s="1">
        <v>2100000</v>
      </c>
      <c r="F56" s="1">
        <v>1400000</v>
      </c>
      <c r="G56" s="1">
        <v>1100000</v>
      </c>
      <c r="H56" s="1">
        <v>13500000</v>
      </c>
      <c r="I56" s="1">
        <v>0</v>
      </c>
    </row>
    <row r="57" spans="1:9" ht="19" x14ac:dyDescent="0.25">
      <c r="A57" s="5" t="s">
        <v>49</v>
      </c>
      <c r="B57" s="1" t="s">
        <v>91</v>
      </c>
      <c r="C57" s="1">
        <v>3200000</v>
      </c>
      <c r="D57" s="1">
        <v>1600000</v>
      </c>
      <c r="E57" s="1">
        <v>900000</v>
      </c>
      <c r="F57" s="1" t="s">
        <v>91</v>
      </c>
      <c r="G57" s="1">
        <v>3000000</v>
      </c>
      <c r="H57" s="1">
        <v>7400000</v>
      </c>
      <c r="I57" s="1" t="s">
        <v>91</v>
      </c>
    </row>
    <row r="58" spans="1:9" ht="19" x14ac:dyDescent="0.25">
      <c r="A58" s="5" t="s">
        <v>50</v>
      </c>
      <c r="B58" s="1" t="s">
        <v>91</v>
      </c>
      <c r="C58" s="1">
        <v>1800000</v>
      </c>
      <c r="D58" s="1" t="s">
        <v>91</v>
      </c>
      <c r="E58" s="1" t="s">
        <v>91</v>
      </c>
      <c r="F58" s="1">
        <v>13000000</v>
      </c>
      <c r="G58" s="1" t="s">
        <v>91</v>
      </c>
      <c r="H58" s="1" t="s">
        <v>91</v>
      </c>
      <c r="I58" s="1" t="s">
        <v>91</v>
      </c>
    </row>
    <row r="59" spans="1:9" ht="19" x14ac:dyDescent="0.25">
      <c r="A59" s="5" t="s">
        <v>51</v>
      </c>
      <c r="B59" s="1" t="s">
        <v>91</v>
      </c>
      <c r="C59" s="1">
        <v>21300000</v>
      </c>
      <c r="D59" s="1">
        <v>46800000</v>
      </c>
      <c r="E59" s="1">
        <v>36400000</v>
      </c>
      <c r="F59" s="1">
        <v>24000000</v>
      </c>
      <c r="G59" s="1">
        <v>61800000</v>
      </c>
      <c r="H59" s="1">
        <v>142100000</v>
      </c>
      <c r="I59" s="1">
        <v>148700000</v>
      </c>
    </row>
    <row r="60" spans="1:9" ht="19" x14ac:dyDescent="0.25">
      <c r="A60" s="6" t="s">
        <v>52</v>
      </c>
      <c r="B60" s="10" t="s">
        <v>91</v>
      </c>
      <c r="C60" s="10">
        <v>86000000</v>
      </c>
      <c r="D60" s="10">
        <v>120400000</v>
      </c>
      <c r="E60" s="10">
        <v>122500000</v>
      </c>
      <c r="F60" s="10">
        <v>82300000</v>
      </c>
      <c r="G60" s="10">
        <v>131300000</v>
      </c>
      <c r="H60" s="10">
        <v>163000000</v>
      </c>
      <c r="I60" s="10">
        <v>148700000</v>
      </c>
    </row>
    <row r="61" spans="1:9" ht="19" x14ac:dyDescent="0.25">
      <c r="A61" s="5" t="s">
        <v>53</v>
      </c>
      <c r="B61" s="1" t="s">
        <v>91</v>
      </c>
      <c r="C61" s="1" t="s">
        <v>91</v>
      </c>
      <c r="D61" s="1">
        <v>34000000</v>
      </c>
      <c r="E61" s="1">
        <v>154600000</v>
      </c>
      <c r="F61" s="1">
        <v>236700000</v>
      </c>
      <c r="G61" s="1">
        <v>240400000</v>
      </c>
      <c r="H61" s="1">
        <v>245700000</v>
      </c>
      <c r="I61" s="1">
        <v>241900000</v>
      </c>
    </row>
    <row r="62" spans="1:9" ht="19" x14ac:dyDescent="0.25">
      <c r="A62" s="5" t="s">
        <v>50</v>
      </c>
      <c r="B62" s="1" t="s">
        <v>91</v>
      </c>
      <c r="C62" s="1" t="s">
        <v>91</v>
      </c>
      <c r="D62" s="1" t="s">
        <v>91</v>
      </c>
      <c r="E62" s="1" t="s">
        <v>91</v>
      </c>
      <c r="F62" s="1" t="s">
        <v>91</v>
      </c>
      <c r="G62" s="1" t="s">
        <v>91</v>
      </c>
      <c r="H62" s="1" t="s">
        <v>91</v>
      </c>
      <c r="I62" s="1" t="s">
        <v>91</v>
      </c>
    </row>
    <row r="63" spans="1:9" ht="19" x14ac:dyDescent="0.25">
      <c r="A63" s="5" t="s">
        <v>54</v>
      </c>
      <c r="B63" s="1" t="s">
        <v>91</v>
      </c>
      <c r="C63" s="1">
        <v>8200000</v>
      </c>
      <c r="D63" s="1">
        <v>2500000</v>
      </c>
      <c r="E63" s="1">
        <v>6700000</v>
      </c>
      <c r="F63" s="1" t="s">
        <v>91</v>
      </c>
      <c r="G63" s="1">
        <v>12700000</v>
      </c>
      <c r="H63" s="1" t="s">
        <v>91</v>
      </c>
      <c r="I63" s="1" t="s">
        <v>91</v>
      </c>
    </row>
    <row r="64" spans="1:9" ht="19" x14ac:dyDescent="0.25">
      <c r="A64" s="5" t="s">
        <v>55</v>
      </c>
      <c r="B64" s="1" t="s">
        <v>91</v>
      </c>
      <c r="C64" s="1">
        <v>16600000</v>
      </c>
      <c r="D64" s="1">
        <v>15200000</v>
      </c>
      <c r="E64" s="1">
        <v>31800000</v>
      </c>
      <c r="F64" s="1">
        <v>52000000</v>
      </c>
      <c r="G64" s="1">
        <v>22700000</v>
      </c>
      <c r="H64" s="1" t="s">
        <v>91</v>
      </c>
      <c r="I64" s="1" t="s">
        <v>91</v>
      </c>
    </row>
    <row r="65" spans="1:10" ht="19" x14ac:dyDescent="0.25">
      <c r="A65" s="5" t="s">
        <v>56</v>
      </c>
      <c r="B65" s="1" t="s">
        <v>91</v>
      </c>
      <c r="C65" s="1">
        <v>24800000</v>
      </c>
      <c r="D65" s="1">
        <v>51700000</v>
      </c>
      <c r="E65" s="1">
        <v>193100000</v>
      </c>
      <c r="F65" s="1">
        <v>288700000</v>
      </c>
      <c r="G65" s="1">
        <v>275800000</v>
      </c>
      <c r="H65" s="1">
        <v>245700000</v>
      </c>
      <c r="I65" s="1">
        <v>241900000</v>
      </c>
    </row>
    <row r="66" spans="1:10" ht="19" x14ac:dyDescent="0.25">
      <c r="A66" s="5" t="s">
        <v>57</v>
      </c>
      <c r="B66" s="1" t="s">
        <v>91</v>
      </c>
      <c r="C66" s="1" t="s">
        <v>91</v>
      </c>
      <c r="D66" s="1" t="s">
        <v>91</v>
      </c>
      <c r="E66" s="1" t="s">
        <v>91</v>
      </c>
      <c r="F66" s="1" t="s">
        <v>91</v>
      </c>
      <c r="G66" s="1" t="s">
        <v>91</v>
      </c>
      <c r="H66" s="1" t="s">
        <v>91</v>
      </c>
      <c r="I66" s="1" t="s">
        <v>91</v>
      </c>
    </row>
    <row r="67" spans="1:10" ht="19" x14ac:dyDescent="0.25">
      <c r="A67" s="6" t="s">
        <v>58</v>
      </c>
      <c r="B67" s="10" t="s">
        <v>91</v>
      </c>
      <c r="C67" s="10">
        <v>110800000</v>
      </c>
      <c r="D67" s="10">
        <v>172100000</v>
      </c>
      <c r="E67" s="10">
        <v>315600000</v>
      </c>
      <c r="F67" s="10">
        <v>371000000</v>
      </c>
      <c r="G67" s="10">
        <v>407100000</v>
      </c>
      <c r="H67" s="10">
        <v>408700000</v>
      </c>
      <c r="I67" s="10">
        <v>390600000</v>
      </c>
    </row>
    <row r="68" spans="1:10" ht="19" x14ac:dyDescent="0.25">
      <c r="A68" s="5" t="s">
        <v>59</v>
      </c>
      <c r="B68" s="1" t="s">
        <v>91</v>
      </c>
      <c r="C68" s="1">
        <v>431000000</v>
      </c>
      <c r="D68" s="1">
        <v>100000</v>
      </c>
      <c r="E68" s="1">
        <v>100000</v>
      </c>
      <c r="F68" s="1">
        <v>553000000</v>
      </c>
      <c r="G68" s="1">
        <v>100000</v>
      </c>
      <c r="H68" s="1" t="s">
        <v>91</v>
      </c>
      <c r="I68" s="1" t="s">
        <v>91</v>
      </c>
    </row>
    <row r="69" spans="1:10" ht="19" x14ac:dyDescent="0.25">
      <c r="A69" s="5" t="s">
        <v>60</v>
      </c>
      <c r="B69" s="1" t="s">
        <v>91</v>
      </c>
      <c r="C69" s="1" t="s">
        <v>91</v>
      </c>
      <c r="D69" s="1">
        <v>25900000</v>
      </c>
      <c r="E69" s="1">
        <v>76600000</v>
      </c>
      <c r="F69" s="1">
        <v>57000000</v>
      </c>
      <c r="G69" s="1">
        <v>57600000</v>
      </c>
      <c r="H69" s="1" t="s">
        <v>91</v>
      </c>
      <c r="I69" s="1">
        <v>331100000</v>
      </c>
    </row>
    <row r="70" spans="1:10" ht="19" x14ac:dyDescent="0.25">
      <c r="A70" s="5" t="s">
        <v>61</v>
      </c>
      <c r="B70" s="1" t="s">
        <v>91</v>
      </c>
      <c r="C70" s="1">
        <v>-45600000</v>
      </c>
      <c r="D70" s="1">
        <v>-49200000</v>
      </c>
      <c r="E70" s="1">
        <v>-48300000</v>
      </c>
      <c r="F70" s="1">
        <v>-44400000</v>
      </c>
      <c r="G70" s="1">
        <v>-42000000</v>
      </c>
      <c r="H70" s="1" t="s">
        <v>91</v>
      </c>
      <c r="I70" s="1" t="s">
        <v>91</v>
      </c>
    </row>
    <row r="71" spans="1:10" ht="19" x14ac:dyDescent="0.25">
      <c r="A71" s="5" t="s">
        <v>62</v>
      </c>
      <c r="B71" s="1" t="s">
        <v>91</v>
      </c>
      <c r="C71" s="1" t="s">
        <v>91</v>
      </c>
      <c r="D71" s="1">
        <v>511100000</v>
      </c>
      <c r="E71" s="1">
        <v>515600000</v>
      </c>
      <c r="F71" s="1">
        <v>200000</v>
      </c>
      <c r="G71" s="1">
        <v>779700000</v>
      </c>
      <c r="H71" s="1" t="s">
        <v>91</v>
      </c>
      <c r="I71" s="1" t="s">
        <v>91</v>
      </c>
    </row>
    <row r="72" spans="1:10" ht="19" x14ac:dyDescent="0.25">
      <c r="A72" s="6" t="s">
        <v>63</v>
      </c>
      <c r="B72" s="10" t="s">
        <v>91</v>
      </c>
      <c r="C72" s="10">
        <v>385400000</v>
      </c>
      <c r="D72" s="10">
        <v>487900000</v>
      </c>
      <c r="E72" s="10">
        <v>544000000</v>
      </c>
      <c r="F72" s="10">
        <v>565800000</v>
      </c>
      <c r="G72" s="10">
        <v>795400000</v>
      </c>
      <c r="H72" s="10">
        <v>795400000</v>
      </c>
      <c r="I72" s="10">
        <v>1433000000</v>
      </c>
    </row>
    <row r="73" spans="1:10" ht="19" x14ac:dyDescent="0.25">
      <c r="A73" s="7" t="s">
        <v>64</v>
      </c>
      <c r="B73" s="11" t="s">
        <v>91</v>
      </c>
      <c r="C73" s="11">
        <v>496200000</v>
      </c>
      <c r="D73" s="11">
        <v>660000000</v>
      </c>
      <c r="E73" s="11">
        <v>859600000</v>
      </c>
      <c r="F73" s="11">
        <v>936800000</v>
      </c>
      <c r="G73" s="11">
        <v>1202500000</v>
      </c>
      <c r="H73" s="11">
        <v>2007300000</v>
      </c>
      <c r="I73" s="11">
        <v>2074200000</v>
      </c>
    </row>
    <row r="74" spans="1:10" ht="19" x14ac:dyDescent="0.25">
      <c r="A74" s="5" t="s">
        <v>28</v>
      </c>
      <c r="B74" s="13" t="s">
        <v>92</v>
      </c>
      <c r="C74" s="13" t="s">
        <v>92</v>
      </c>
      <c r="D74" s="13" t="s">
        <v>92</v>
      </c>
      <c r="E74" s="13" t="s">
        <v>92</v>
      </c>
      <c r="F74" s="13" t="s">
        <v>92</v>
      </c>
      <c r="G74" s="13" t="s">
        <v>92</v>
      </c>
      <c r="H74" s="13" t="s">
        <v>92</v>
      </c>
      <c r="I74" s="13" t="s">
        <v>92</v>
      </c>
    </row>
    <row r="75" spans="1:10" ht="21" x14ac:dyDescent="0.25">
      <c r="A75" s="4" t="s">
        <v>65</v>
      </c>
      <c r="B75" s="9" t="s">
        <v>90</v>
      </c>
      <c r="C75" s="9" t="s">
        <v>90</v>
      </c>
      <c r="D75" s="9" t="s">
        <v>90</v>
      </c>
      <c r="E75" s="9" t="s">
        <v>90</v>
      </c>
      <c r="F75" s="9" t="s">
        <v>90</v>
      </c>
      <c r="G75" s="9" t="s">
        <v>90</v>
      </c>
      <c r="H75" s="9" t="s">
        <v>90</v>
      </c>
      <c r="I75" s="9" t="s">
        <v>90</v>
      </c>
    </row>
    <row r="76" spans="1:10" ht="19" x14ac:dyDescent="0.25">
      <c r="A76" s="5" t="s">
        <v>66</v>
      </c>
      <c r="B76" s="1" t="s">
        <v>91</v>
      </c>
      <c r="C76" s="1">
        <v>47100000</v>
      </c>
      <c r="D76" s="1">
        <v>42200000</v>
      </c>
      <c r="E76" s="1">
        <v>126100000</v>
      </c>
      <c r="F76" s="1">
        <v>50200000</v>
      </c>
      <c r="G76" s="1">
        <v>-18900000</v>
      </c>
      <c r="H76" s="1">
        <v>600000</v>
      </c>
      <c r="I76" s="1">
        <v>273500000</v>
      </c>
    </row>
    <row r="77" spans="1:10" ht="19" x14ac:dyDescent="0.25">
      <c r="A77" s="5" t="s">
        <v>13</v>
      </c>
      <c r="B77" s="1" t="s">
        <v>91</v>
      </c>
      <c r="C77" s="1">
        <v>14800000</v>
      </c>
      <c r="D77" s="1">
        <v>15900000</v>
      </c>
      <c r="E77" s="1">
        <v>17800000</v>
      </c>
      <c r="F77" s="1">
        <v>20900000</v>
      </c>
      <c r="G77" s="1">
        <v>25000000</v>
      </c>
      <c r="H77" s="1">
        <v>25100000</v>
      </c>
      <c r="I77" s="1">
        <v>27700000</v>
      </c>
    </row>
    <row r="78" spans="1:10" ht="19" x14ac:dyDescent="0.25">
      <c r="A78" s="5" t="s">
        <v>67</v>
      </c>
      <c r="B78" s="1" t="s">
        <v>91</v>
      </c>
      <c r="C78" s="1">
        <v>400000</v>
      </c>
      <c r="D78" s="1">
        <v>-700000</v>
      </c>
      <c r="E78" s="1">
        <v>-3100000</v>
      </c>
      <c r="F78" s="1">
        <v>-900000</v>
      </c>
      <c r="G78" s="1">
        <v>-7000000</v>
      </c>
      <c r="H78" s="1">
        <v>12500000</v>
      </c>
      <c r="I78" s="1">
        <v>3800000</v>
      </c>
    </row>
    <row r="79" spans="1:10" ht="19" x14ac:dyDescent="0.25">
      <c r="A79" s="5" t="s">
        <v>68</v>
      </c>
      <c r="B79" s="1" t="s">
        <v>91</v>
      </c>
      <c r="C79" s="1">
        <v>2100000</v>
      </c>
      <c r="D79" s="1">
        <v>3400000</v>
      </c>
      <c r="E79" s="1">
        <v>4400000</v>
      </c>
      <c r="F79" s="1">
        <v>4300000</v>
      </c>
      <c r="G79" s="1">
        <v>4000000</v>
      </c>
      <c r="H79" s="1">
        <v>5300000</v>
      </c>
      <c r="I79" s="1">
        <v>6800000</v>
      </c>
    </row>
    <row r="80" spans="1:10" ht="19" x14ac:dyDescent="0.25">
      <c r="A80" s="14" t="s">
        <v>103</v>
      </c>
      <c r="B80" s="15" t="e">
        <f t="shared" ref="B80:I80" si="19">B79/B3</f>
        <v>#VALUE!</v>
      </c>
      <c r="C80" s="15">
        <f t="shared" si="19"/>
        <v>7.9515335100340777E-3</v>
      </c>
      <c r="D80" s="15">
        <f t="shared" si="19"/>
        <v>9.7869890616004603E-3</v>
      </c>
      <c r="E80" s="15">
        <f t="shared" si="19"/>
        <v>9.9435028248587576E-3</v>
      </c>
      <c r="F80" s="15">
        <f t="shared" si="19"/>
        <v>1.1071060762100926E-2</v>
      </c>
      <c r="G80" s="15">
        <f t="shared" si="19"/>
        <v>1.3879250520471894E-2</v>
      </c>
      <c r="H80" s="15">
        <f t="shared" si="19"/>
        <v>1.2607040913415794E-2</v>
      </c>
      <c r="I80" s="15">
        <f t="shared" si="19"/>
        <v>8.362026561731432E-3</v>
      </c>
      <c r="J80" s="15"/>
    </row>
    <row r="81" spans="1:17" ht="19" x14ac:dyDescent="0.25">
      <c r="A81" s="5" t="s">
        <v>69</v>
      </c>
      <c r="B81" s="1" t="s">
        <v>91</v>
      </c>
      <c r="C81" s="1">
        <v>-19900000</v>
      </c>
      <c r="D81" s="1">
        <v>-42700000</v>
      </c>
      <c r="E81" s="1">
        <v>-56900000</v>
      </c>
      <c r="F81" s="1">
        <v>-19500000</v>
      </c>
      <c r="G81" s="1">
        <v>-6100000</v>
      </c>
      <c r="H81" s="1">
        <v>-22500000</v>
      </c>
      <c r="I81" s="1">
        <v>454700000</v>
      </c>
    </row>
    <row r="82" spans="1:17" ht="19" x14ac:dyDescent="0.25">
      <c r="A82" s="5" t="s">
        <v>70</v>
      </c>
      <c r="B82" s="1" t="s">
        <v>91</v>
      </c>
      <c r="C82" s="1">
        <v>-8300000</v>
      </c>
      <c r="D82" s="1">
        <v>-71300000</v>
      </c>
      <c r="E82" s="1">
        <v>-20800000</v>
      </c>
      <c r="F82" s="1">
        <v>51400000</v>
      </c>
      <c r="G82" s="1">
        <v>15000000</v>
      </c>
      <c r="H82" s="1">
        <v>-19000000</v>
      </c>
      <c r="I82" s="1">
        <v>-51100000</v>
      </c>
    </row>
    <row r="83" spans="1:17" ht="21" x14ac:dyDescent="0.25">
      <c r="A83" s="5" t="s">
        <v>34</v>
      </c>
      <c r="B83" s="1" t="s">
        <v>91</v>
      </c>
      <c r="C83" s="1">
        <v>-7900000</v>
      </c>
      <c r="D83" s="1">
        <v>6900000</v>
      </c>
      <c r="E83" s="1">
        <v>-24200000</v>
      </c>
      <c r="F83" s="1">
        <v>-40600000</v>
      </c>
      <c r="G83" s="1">
        <v>10000000</v>
      </c>
      <c r="H83" s="1">
        <v>-28200000</v>
      </c>
      <c r="I83" s="1">
        <v>-22900000</v>
      </c>
      <c r="P83" s="66" t="s">
        <v>123</v>
      </c>
      <c r="Q83" s="67"/>
    </row>
    <row r="84" spans="1:17" ht="19" x14ac:dyDescent="0.25">
      <c r="A84" s="5" t="s">
        <v>47</v>
      </c>
      <c r="B84" s="1" t="s">
        <v>91</v>
      </c>
      <c r="C84" s="1">
        <v>1800000</v>
      </c>
      <c r="D84" s="1">
        <v>32500000</v>
      </c>
      <c r="E84" s="1">
        <v>13800000</v>
      </c>
      <c r="F84" s="1">
        <v>10800000</v>
      </c>
      <c r="G84" s="1">
        <v>-39800000</v>
      </c>
      <c r="H84" s="1">
        <v>20900000</v>
      </c>
      <c r="I84" s="1">
        <v>18900000</v>
      </c>
      <c r="P84" s="68" t="s">
        <v>124</v>
      </c>
      <c r="Q84" s="68"/>
    </row>
    <row r="85" spans="1:17" ht="20" x14ac:dyDescent="0.25">
      <c r="A85" s="5" t="s">
        <v>71</v>
      </c>
      <c r="B85" s="1" t="s">
        <v>91</v>
      </c>
      <c r="C85" s="1">
        <v>-700000</v>
      </c>
      <c r="D85" s="1">
        <v>4400000</v>
      </c>
      <c r="E85" s="1">
        <v>-5200000</v>
      </c>
      <c r="F85" s="1">
        <v>-100000</v>
      </c>
      <c r="G85" s="1">
        <v>-200000</v>
      </c>
      <c r="H85" s="1">
        <v>4400000</v>
      </c>
      <c r="I85" s="1">
        <v>4400000</v>
      </c>
      <c r="P85" s="49" t="s">
        <v>125</v>
      </c>
      <c r="Q85" s="50">
        <f>I17</f>
        <v>328400000</v>
      </c>
    </row>
    <row r="86" spans="1:17" ht="20" x14ac:dyDescent="0.25">
      <c r="A86" s="5" t="s">
        <v>72</v>
      </c>
      <c r="B86" s="1" t="s">
        <v>91</v>
      </c>
      <c r="C86" s="1">
        <v>6500000</v>
      </c>
      <c r="D86" s="1">
        <v>40200000</v>
      </c>
      <c r="E86" s="1">
        <v>3700000</v>
      </c>
      <c r="F86" s="1">
        <v>3100000</v>
      </c>
      <c r="G86" s="1">
        <v>9300000</v>
      </c>
      <c r="H86" s="1">
        <v>5400000</v>
      </c>
      <c r="I86" s="1">
        <v>5400000</v>
      </c>
      <c r="P86" s="49" t="s">
        <v>126</v>
      </c>
      <c r="Q86" s="50">
        <f>I56</f>
        <v>0</v>
      </c>
    </row>
    <row r="87" spans="1:17" ht="20" x14ac:dyDescent="0.25">
      <c r="A87" s="6" t="s">
        <v>73</v>
      </c>
      <c r="B87" s="10" t="s">
        <v>91</v>
      </c>
      <c r="C87" s="10">
        <v>51000000</v>
      </c>
      <c r="D87" s="10">
        <v>58300000</v>
      </c>
      <c r="E87" s="10">
        <v>92000000</v>
      </c>
      <c r="F87" s="10">
        <v>58100000</v>
      </c>
      <c r="G87" s="10">
        <v>6300000</v>
      </c>
      <c r="H87" s="10">
        <v>26400000</v>
      </c>
      <c r="I87" s="10">
        <v>454700000</v>
      </c>
      <c r="P87" s="49" t="s">
        <v>127</v>
      </c>
      <c r="Q87" s="50">
        <f>I61</f>
        <v>241900000</v>
      </c>
    </row>
    <row r="88" spans="1:17" ht="20" x14ac:dyDescent="0.25">
      <c r="A88" s="5" t="s">
        <v>74</v>
      </c>
      <c r="B88" s="1" t="s">
        <v>91</v>
      </c>
      <c r="C88" s="1">
        <v>-31300000</v>
      </c>
      <c r="D88" s="1">
        <v>-62500000</v>
      </c>
      <c r="E88" s="1">
        <v>-78400000</v>
      </c>
      <c r="F88" s="1">
        <v>-188800000</v>
      </c>
      <c r="G88" s="1">
        <v>-124000000</v>
      </c>
      <c r="H88" s="1">
        <v>-131900000</v>
      </c>
      <c r="I88" s="1">
        <v>-336900000</v>
      </c>
      <c r="P88" s="51" t="s">
        <v>128</v>
      </c>
      <c r="Q88" s="52">
        <f>Q85/(Q86+Q87)</f>
        <v>1.3575857792476229</v>
      </c>
    </row>
    <row r="89" spans="1:17" ht="20" customHeight="1" x14ac:dyDescent="0.25">
      <c r="A89" s="14" t="s">
        <v>104</v>
      </c>
      <c r="B89" s="15" t="e">
        <f t="shared" ref="B89:I89" si="20">(-1*B88)/B3</f>
        <v>#VALUE!</v>
      </c>
      <c r="C89" s="15">
        <f t="shared" si="20"/>
        <v>0.11851571374479364</v>
      </c>
      <c r="D89" s="15">
        <f t="shared" si="20"/>
        <v>0.17990788716177317</v>
      </c>
      <c r="E89" s="15">
        <f t="shared" si="20"/>
        <v>0.17717514124293784</v>
      </c>
      <c r="F89" s="15">
        <f t="shared" si="20"/>
        <v>0.48609680741503603</v>
      </c>
      <c r="G89" s="15">
        <f t="shared" si="20"/>
        <v>0.43025676613462871</v>
      </c>
      <c r="H89" s="15">
        <f t="shared" si="20"/>
        <v>0.31374881065651761</v>
      </c>
      <c r="I89" s="15">
        <f t="shared" si="20"/>
        <v>0.41428922774225285</v>
      </c>
      <c r="J89" s="15"/>
      <c r="K89" s="15"/>
      <c r="L89" s="15"/>
      <c r="M89" s="15"/>
      <c r="N89" s="15"/>
      <c r="O89" s="15"/>
      <c r="P89" s="49" t="s">
        <v>105</v>
      </c>
      <c r="Q89" s="50">
        <f>I27</f>
        <v>61900000</v>
      </c>
    </row>
    <row r="90" spans="1:17" ht="20" x14ac:dyDescent="0.25">
      <c r="A90" s="5" t="s">
        <v>75</v>
      </c>
      <c r="B90" s="1" t="s">
        <v>91</v>
      </c>
      <c r="C90" s="1" t="s">
        <v>91</v>
      </c>
      <c r="D90" s="1" t="s">
        <v>91</v>
      </c>
      <c r="E90" s="1" t="s">
        <v>91</v>
      </c>
      <c r="F90" s="1">
        <v>-800000</v>
      </c>
      <c r="G90" s="1">
        <v>-15000000</v>
      </c>
      <c r="H90" s="1">
        <v>-8000000</v>
      </c>
      <c r="I90" s="1">
        <v>-47100000</v>
      </c>
      <c r="P90" s="49" t="s">
        <v>19</v>
      </c>
      <c r="Q90" s="50">
        <f>I25</f>
        <v>335400000</v>
      </c>
    </row>
    <row r="91" spans="1:17" ht="20" x14ac:dyDescent="0.25">
      <c r="A91" s="5" t="s">
        <v>76</v>
      </c>
      <c r="B91" s="1" t="s">
        <v>91</v>
      </c>
      <c r="C91" s="1" t="s">
        <v>91</v>
      </c>
      <c r="D91" s="1" t="s">
        <v>91</v>
      </c>
      <c r="E91" s="1" t="s">
        <v>91</v>
      </c>
      <c r="F91" s="1">
        <v>-400000</v>
      </c>
      <c r="G91" s="1" t="s">
        <v>91</v>
      </c>
      <c r="H91" s="1">
        <v>-800000</v>
      </c>
      <c r="I91" s="1" t="s">
        <v>91</v>
      </c>
      <c r="P91" s="51" t="s">
        <v>129</v>
      </c>
      <c r="Q91" s="52">
        <f>Q89/Q90</f>
        <v>0.18455575432319618</v>
      </c>
    </row>
    <row r="92" spans="1:17" ht="20" x14ac:dyDescent="0.25">
      <c r="A92" s="5" t="s">
        <v>77</v>
      </c>
      <c r="B92" s="1" t="s">
        <v>91</v>
      </c>
      <c r="C92" s="1" t="s">
        <v>91</v>
      </c>
      <c r="D92" s="1" t="s">
        <v>91</v>
      </c>
      <c r="E92" s="1" t="s">
        <v>91</v>
      </c>
      <c r="F92" s="1" t="s">
        <v>91</v>
      </c>
      <c r="G92" s="1" t="s">
        <v>91</v>
      </c>
      <c r="H92" s="1" t="s">
        <v>91</v>
      </c>
      <c r="I92" s="1" t="s">
        <v>91</v>
      </c>
      <c r="P92" s="51" t="s">
        <v>130</v>
      </c>
      <c r="Q92" s="52">
        <f>Q88*(1-Q91)</f>
        <v>1.1070355117001338</v>
      </c>
    </row>
    <row r="93" spans="1:17" ht="19" x14ac:dyDescent="0.25">
      <c r="A93" s="5" t="s">
        <v>78</v>
      </c>
      <c r="B93" s="1" t="s">
        <v>91</v>
      </c>
      <c r="C93" s="1">
        <v>-31300000</v>
      </c>
      <c r="D93" s="1">
        <v>-62500000</v>
      </c>
      <c r="E93" s="1">
        <v>-78400000</v>
      </c>
      <c r="F93" s="1">
        <v>-188800000</v>
      </c>
      <c r="G93" s="1">
        <v>-116100000</v>
      </c>
      <c r="H93" s="1">
        <v>-142500000</v>
      </c>
      <c r="I93" s="1">
        <v>-364700000</v>
      </c>
      <c r="P93" s="68" t="s">
        <v>131</v>
      </c>
      <c r="Q93" s="68"/>
    </row>
    <row r="94" spans="1:17" ht="20" x14ac:dyDescent="0.25">
      <c r="A94" s="6" t="s">
        <v>79</v>
      </c>
      <c r="B94" s="10" t="s">
        <v>91</v>
      </c>
      <c r="C94" s="10">
        <v>-31300000</v>
      </c>
      <c r="D94" s="10">
        <v>-62500000</v>
      </c>
      <c r="E94" s="10">
        <v>-78400000</v>
      </c>
      <c r="F94" s="10">
        <v>-190000000</v>
      </c>
      <c r="G94" s="10">
        <v>-131100000</v>
      </c>
      <c r="H94" s="10">
        <v>-143300000</v>
      </c>
      <c r="I94" s="10">
        <v>-364700000</v>
      </c>
      <c r="P94" s="49" t="s">
        <v>132</v>
      </c>
      <c r="Q94" s="53">
        <f>[1]Treasuries!$C$8</f>
        <v>4.0480000000000002E-2</v>
      </c>
    </row>
    <row r="95" spans="1:17" ht="20" x14ac:dyDescent="0.25">
      <c r="A95" s="5" t="s">
        <v>80</v>
      </c>
      <c r="B95" s="1" t="s">
        <v>91</v>
      </c>
      <c r="C95" s="1">
        <v>-10700000</v>
      </c>
      <c r="D95" s="1" t="s">
        <v>91</v>
      </c>
      <c r="E95" s="1" t="s">
        <v>91</v>
      </c>
      <c r="F95" s="1">
        <v>-111400000</v>
      </c>
      <c r="G95" s="1">
        <v>-296400000</v>
      </c>
      <c r="H95" s="1">
        <v>-75100000</v>
      </c>
      <c r="I95" s="1">
        <v>-13000000</v>
      </c>
      <c r="P95" s="54" t="s">
        <v>133</v>
      </c>
      <c r="Q95" s="55" cm="1">
        <f t="array" ref="Q95">_FV(A1,"Beta")</f>
        <v>1.8274999999999999</v>
      </c>
    </row>
    <row r="96" spans="1:17" ht="20" x14ac:dyDescent="0.25">
      <c r="A96" s="5" t="s">
        <v>81</v>
      </c>
      <c r="B96" s="1" t="s">
        <v>91</v>
      </c>
      <c r="C96" s="1" t="s">
        <v>91</v>
      </c>
      <c r="D96" s="1" t="s">
        <v>91</v>
      </c>
      <c r="E96" s="1">
        <v>368700000</v>
      </c>
      <c r="F96" s="1" t="s">
        <v>91</v>
      </c>
      <c r="G96" s="1" t="s">
        <v>91</v>
      </c>
      <c r="H96" s="1">
        <v>1500000</v>
      </c>
      <c r="I96" s="1">
        <v>3200000</v>
      </c>
      <c r="P96" s="49" t="s">
        <v>134</v>
      </c>
      <c r="Q96" s="56">
        <v>8.4000000000000005E-2</v>
      </c>
    </row>
    <row r="97" spans="1:17" ht="20" x14ac:dyDescent="0.25">
      <c r="A97" s="5" t="s">
        <v>82</v>
      </c>
      <c r="B97" s="1" t="s">
        <v>91</v>
      </c>
      <c r="C97" s="1" t="s">
        <v>91</v>
      </c>
      <c r="D97" s="1" t="s">
        <v>91</v>
      </c>
      <c r="E97" s="1" t="s">
        <v>91</v>
      </c>
      <c r="F97" s="1" t="s">
        <v>91</v>
      </c>
      <c r="G97" s="1" t="s">
        <v>91</v>
      </c>
      <c r="H97" s="1">
        <v>-100000</v>
      </c>
      <c r="I97" s="1" t="s">
        <v>91</v>
      </c>
      <c r="P97" s="51" t="s">
        <v>135</v>
      </c>
      <c r="Q97" s="52">
        <f>(Q94)+((Q95)*(Q96-Q94))</f>
        <v>0.1200128</v>
      </c>
    </row>
    <row r="98" spans="1:17" ht="19" x14ac:dyDescent="0.25">
      <c r="A98" s="5" t="s">
        <v>83</v>
      </c>
      <c r="B98" s="1" t="s">
        <v>91</v>
      </c>
      <c r="C98" s="1" t="s">
        <v>91</v>
      </c>
      <c r="D98" s="1" t="s">
        <v>91</v>
      </c>
      <c r="E98" s="1">
        <v>-365700000</v>
      </c>
      <c r="F98" s="1" t="s">
        <v>91</v>
      </c>
      <c r="G98" s="1" t="s">
        <v>91</v>
      </c>
      <c r="H98" s="1" t="s">
        <v>91</v>
      </c>
      <c r="I98" s="1">
        <v>0</v>
      </c>
      <c r="P98" s="68" t="s">
        <v>136</v>
      </c>
      <c r="Q98" s="68"/>
    </row>
    <row r="99" spans="1:17" ht="20" x14ac:dyDescent="0.25">
      <c r="A99" s="5" t="s">
        <v>84</v>
      </c>
      <c r="B99" s="1" t="s">
        <v>91</v>
      </c>
      <c r="C99" s="1">
        <v>-7900000</v>
      </c>
      <c r="D99" s="1">
        <v>1500000</v>
      </c>
      <c r="E99" s="1">
        <v>10000000</v>
      </c>
      <c r="F99" s="1">
        <v>231900000</v>
      </c>
      <c r="G99" s="1">
        <v>119100000</v>
      </c>
      <c r="H99" s="1">
        <v>291700000</v>
      </c>
      <c r="I99" s="1">
        <v>-12500000</v>
      </c>
      <c r="P99" s="49" t="s">
        <v>137</v>
      </c>
      <c r="Q99" s="50">
        <f>Q86+Q87</f>
        <v>241900000</v>
      </c>
    </row>
    <row r="100" spans="1:17" ht="20" x14ac:dyDescent="0.25">
      <c r="A100" s="6" t="s">
        <v>85</v>
      </c>
      <c r="B100" s="10" t="s">
        <v>91</v>
      </c>
      <c r="C100" s="10">
        <v>-18600000</v>
      </c>
      <c r="D100" s="10">
        <v>1500000</v>
      </c>
      <c r="E100" s="10">
        <v>13000000</v>
      </c>
      <c r="F100" s="10">
        <v>120500000</v>
      </c>
      <c r="G100" s="10">
        <v>119100000</v>
      </c>
      <c r="H100" s="10">
        <v>218000000</v>
      </c>
      <c r="I100" s="10">
        <v>-12500000</v>
      </c>
      <c r="P100" s="51" t="s">
        <v>138</v>
      </c>
      <c r="Q100" s="52">
        <f>Q99/Q103</f>
        <v>4.5317881241973959E-2</v>
      </c>
    </row>
    <row r="101" spans="1:17" ht="20" x14ac:dyDescent="0.25">
      <c r="A101" s="5" t="s">
        <v>86</v>
      </c>
      <c r="B101" s="1" t="s">
        <v>91</v>
      </c>
      <c r="C101" s="1" t="s">
        <v>91</v>
      </c>
      <c r="D101" s="1">
        <v>-100000</v>
      </c>
      <c r="E101" s="1">
        <v>500000</v>
      </c>
      <c r="F101" s="1">
        <v>-100000</v>
      </c>
      <c r="G101" s="1">
        <v>500000</v>
      </c>
      <c r="H101" s="1">
        <v>300000</v>
      </c>
      <c r="I101" s="1" t="s">
        <v>91</v>
      </c>
      <c r="P101" s="54" t="s">
        <v>139</v>
      </c>
      <c r="Q101" s="43" cm="1">
        <f t="array" ref="Q101">_FV(A1,"Market cap",TRUE)</f>
        <v>5095948844</v>
      </c>
    </row>
    <row r="102" spans="1:17" ht="20" x14ac:dyDescent="0.25">
      <c r="A102" s="6" t="s">
        <v>87</v>
      </c>
      <c r="B102" s="10" t="s">
        <v>91</v>
      </c>
      <c r="C102" s="10">
        <v>1100000</v>
      </c>
      <c r="D102" s="10">
        <v>-2800000</v>
      </c>
      <c r="E102" s="10">
        <v>27100000</v>
      </c>
      <c r="F102" s="10">
        <v>-11500000</v>
      </c>
      <c r="G102" s="10">
        <v>-5200000</v>
      </c>
      <c r="H102" s="10">
        <v>101400000</v>
      </c>
      <c r="I102" s="10">
        <v>76000000</v>
      </c>
      <c r="P102" s="51" t="s">
        <v>140</v>
      </c>
      <c r="Q102" s="52">
        <f>Q101/Q103</f>
        <v>0.954682118758026</v>
      </c>
    </row>
    <row r="103" spans="1:17" ht="20" x14ac:dyDescent="0.25">
      <c r="A103" s="5" t="s">
        <v>88</v>
      </c>
      <c r="B103" s="1" t="s">
        <v>91</v>
      </c>
      <c r="C103" s="1">
        <v>2900000</v>
      </c>
      <c r="D103" s="1">
        <v>4000000</v>
      </c>
      <c r="E103" s="1">
        <v>1200000</v>
      </c>
      <c r="F103" s="1">
        <v>28300000</v>
      </c>
      <c r="G103" s="1">
        <v>16800000</v>
      </c>
      <c r="H103" s="1">
        <v>11600000</v>
      </c>
      <c r="I103" s="1">
        <v>113000000</v>
      </c>
      <c r="P103" s="51" t="s">
        <v>141</v>
      </c>
      <c r="Q103" s="57">
        <f>Q99+Q101</f>
        <v>5337848844</v>
      </c>
    </row>
    <row r="104" spans="1:17" ht="20" thickBot="1" x14ac:dyDescent="0.3">
      <c r="A104" s="7" t="s">
        <v>89</v>
      </c>
      <c r="B104" s="11" t="s">
        <v>91</v>
      </c>
      <c r="C104" s="11">
        <v>4000000</v>
      </c>
      <c r="D104" s="11">
        <v>1200000</v>
      </c>
      <c r="E104" s="11">
        <v>28300000</v>
      </c>
      <c r="F104" s="11">
        <v>16800000</v>
      </c>
      <c r="G104" s="11">
        <v>11600000</v>
      </c>
      <c r="H104" s="11">
        <v>113000000</v>
      </c>
      <c r="I104" s="11">
        <v>189000000</v>
      </c>
      <c r="P104" s="68" t="s">
        <v>142</v>
      </c>
      <c r="Q104" s="68"/>
    </row>
    <row r="105" spans="1:17" ht="21" thickTop="1" x14ac:dyDescent="0.25">
      <c r="A105" s="14" t="s">
        <v>161</v>
      </c>
      <c r="C105" s="1">
        <f t="shared" ref="C105:H105" si="21">(C22*(1-$Q$91))+C77+C88+C81</f>
        <v>12526654.74060823</v>
      </c>
      <c r="D105" s="1">
        <f t="shared" si="21"/>
        <v>561955.87358377874</v>
      </c>
      <c r="E105" s="1">
        <f t="shared" si="21"/>
        <v>17129844.961240321</v>
      </c>
      <c r="F105" s="1">
        <f t="shared" si="21"/>
        <v>-129421914.13237925</v>
      </c>
      <c r="G105" s="1">
        <f t="shared" si="21"/>
        <v>-118147107.93082887</v>
      </c>
      <c r="H105" s="1">
        <f t="shared" si="21"/>
        <v>-103287328.56290996</v>
      </c>
      <c r="I105" s="1">
        <f>(I22*(1-$Q$91))+I77+I88+I81</f>
        <v>413291890.28026235</v>
      </c>
      <c r="J105" s="27">
        <f>I105*(1+$Q$106)</f>
        <v>509311681.62502742</v>
      </c>
      <c r="K105" s="27">
        <f t="shared" ref="K105:N105" si="22">J105*(1+$Q$106)</f>
        <v>627639678.2521174</v>
      </c>
      <c r="L105" s="27">
        <f t="shared" si="22"/>
        <v>773458728.57172608</v>
      </c>
      <c r="M105" s="27">
        <f t="shared" si="22"/>
        <v>953155808.23346853</v>
      </c>
      <c r="N105" s="27">
        <f t="shared" si="22"/>
        <v>1174601774.0944622</v>
      </c>
      <c r="O105" s="28" t="s">
        <v>162</v>
      </c>
      <c r="P105" s="58" t="s">
        <v>106</v>
      </c>
      <c r="Q105" s="59">
        <f>(Q100*Q92)+(Q102*Q97)</f>
        <v>0.16474257803195774</v>
      </c>
    </row>
    <row r="106" spans="1:17" ht="19" x14ac:dyDescent="0.25">
      <c r="A106" s="14" t="s">
        <v>160</v>
      </c>
      <c r="B106" s="1"/>
      <c r="C106" s="15" t="e">
        <f t="shared" ref="C106:I106" si="23">(C107/B107)-1</f>
        <v>#VALUE!</v>
      </c>
      <c r="D106" s="15">
        <f t="shared" si="23"/>
        <v>-0.62845849802371534</v>
      </c>
      <c r="E106" s="15">
        <f t="shared" si="23"/>
        <v>0.95744680851063824</v>
      </c>
      <c r="F106" s="15">
        <f t="shared" si="23"/>
        <v>-7.8586956521739131</v>
      </c>
      <c r="G106" s="15">
        <f t="shared" si="23"/>
        <v>-1.0499207606973058</v>
      </c>
      <c r="H106" s="15">
        <f t="shared" si="23"/>
        <v>3.1904761904761907</v>
      </c>
      <c r="I106" s="15">
        <f t="shared" si="23"/>
        <v>16.223484848484848</v>
      </c>
      <c r="J106" s="38">
        <v>36423000</v>
      </c>
      <c r="K106" s="38">
        <v>60749000</v>
      </c>
      <c r="L106" s="38">
        <v>257100000</v>
      </c>
      <c r="M106" s="38">
        <v>451400000</v>
      </c>
      <c r="N106" s="38">
        <v>769800000</v>
      </c>
      <c r="O106" s="28" t="s">
        <v>163</v>
      </c>
      <c r="P106" s="60" t="s">
        <v>143</v>
      </c>
      <c r="Q106" s="61">
        <f>(SUM(J4:N4)/5)</f>
        <v>0.23232924139801506</v>
      </c>
    </row>
    <row r="107" spans="1:17" ht="19" x14ac:dyDescent="0.25">
      <c r="A107" s="39" t="s">
        <v>159</v>
      </c>
      <c r="B107" s="1" t="s">
        <v>91</v>
      </c>
      <c r="C107" s="1">
        <v>25300000</v>
      </c>
      <c r="D107" s="1">
        <v>9400000</v>
      </c>
      <c r="E107" s="1">
        <v>18400000</v>
      </c>
      <c r="F107" s="1">
        <v>-126200000</v>
      </c>
      <c r="G107" s="1">
        <v>6300000</v>
      </c>
      <c r="H107" s="1">
        <v>26400000</v>
      </c>
      <c r="I107" s="1">
        <v>454700000</v>
      </c>
      <c r="J107" s="28"/>
      <c r="K107" s="28"/>
      <c r="L107" s="28"/>
      <c r="M107" s="28"/>
      <c r="N107" s="43">
        <f>N105*(1+Q107)/(Q108-Q107)</f>
        <v>8615604745.5449715</v>
      </c>
      <c r="O107" s="29" t="s">
        <v>144</v>
      </c>
      <c r="P107" s="62" t="s">
        <v>145</v>
      </c>
      <c r="Q107" s="63">
        <v>2.5000000000000001E-2</v>
      </c>
    </row>
    <row r="108" spans="1:17" ht="19" x14ac:dyDescent="0.25">
      <c r="J108" s="43">
        <f t="shared" ref="J108:M108" si="24">J107+J105</f>
        <v>509311681.62502742</v>
      </c>
      <c r="K108" s="43">
        <f t="shared" si="24"/>
        <v>627639678.2521174</v>
      </c>
      <c r="L108" s="43">
        <f t="shared" si="24"/>
        <v>773458728.57172608</v>
      </c>
      <c r="M108" s="43">
        <f t="shared" si="24"/>
        <v>953155808.23346853</v>
      </c>
      <c r="N108" s="43">
        <f>N107+N105</f>
        <v>9790206519.6394329</v>
      </c>
      <c r="O108" s="29" t="s">
        <v>141</v>
      </c>
      <c r="P108" s="64" t="s">
        <v>146</v>
      </c>
      <c r="Q108" s="61">
        <f>Q105</f>
        <v>0.16474257803195774</v>
      </c>
    </row>
    <row r="109" spans="1:17" ht="19" x14ac:dyDescent="0.25">
      <c r="J109" s="65" t="s">
        <v>147</v>
      </c>
      <c r="K109" s="65"/>
    </row>
    <row r="110" spans="1:17" ht="20" x14ac:dyDescent="0.25">
      <c r="J110" s="42" t="s">
        <v>148</v>
      </c>
      <c r="K110" s="43">
        <f>NPV(Q108,J108,K108,L108,M108,N108)</f>
        <v>6474430101.4067383</v>
      </c>
    </row>
    <row r="111" spans="1:17" ht="20" x14ac:dyDescent="0.25">
      <c r="J111" s="42" t="s">
        <v>149</v>
      </c>
      <c r="K111" s="43">
        <f>I40</f>
        <v>189000000</v>
      </c>
    </row>
    <row r="112" spans="1:17" ht="20" x14ac:dyDescent="0.25">
      <c r="J112" s="42" t="s">
        <v>137</v>
      </c>
      <c r="K112" s="43">
        <f>Q99</f>
        <v>241900000</v>
      </c>
    </row>
    <row r="113" spans="10:11" ht="20" x14ac:dyDescent="0.25">
      <c r="J113" s="42" t="s">
        <v>150</v>
      </c>
      <c r="K113" s="43">
        <f>K110+K111-K112</f>
        <v>6421530101.4067383</v>
      </c>
    </row>
    <row r="114" spans="10:11" ht="20" x14ac:dyDescent="0.25">
      <c r="J114" s="42" t="s">
        <v>158</v>
      </c>
      <c r="K114" s="42">
        <f>I34*(1+(5*0.05))</f>
        <v>252000000</v>
      </c>
    </row>
    <row r="115" spans="10:11" ht="20" x14ac:dyDescent="0.25">
      <c r="J115" s="44" t="s">
        <v>151</v>
      </c>
      <c r="K115" s="45">
        <f>K113/K114</f>
        <v>25.482262307169595</v>
      </c>
    </row>
    <row r="116" spans="10:11" ht="20" x14ac:dyDescent="0.25">
      <c r="J116" s="42" t="s">
        <v>152</v>
      </c>
      <c r="K116" s="46" cm="1">
        <f t="array" ref="K116">_FV(A1,"Previous close",TRUE)</f>
        <v>27.4</v>
      </c>
    </row>
    <row r="117" spans="10:11" ht="20" x14ac:dyDescent="0.25">
      <c r="J117" s="44" t="s">
        <v>153</v>
      </c>
      <c r="K117" s="47">
        <f>K115/K116-1</f>
        <v>-6.9990426745635159E-2</v>
      </c>
    </row>
    <row r="118" spans="10:11" ht="20" x14ac:dyDescent="0.25">
      <c r="J118" s="44" t="s">
        <v>154</v>
      </c>
      <c r="K118" s="48" t="str">
        <f>IF(K115&gt;K116,"BUY","SELL")</f>
        <v>SELL</v>
      </c>
    </row>
  </sheetData>
  <mergeCells count="6">
    <mergeCell ref="J109:K109"/>
    <mergeCell ref="P83:Q83"/>
    <mergeCell ref="P84:Q84"/>
    <mergeCell ref="P93:Q93"/>
    <mergeCell ref="P98:Q98"/>
    <mergeCell ref="P104:Q104"/>
  </mergeCells>
  <hyperlinks>
    <hyperlink ref="A1" r:id="rId1" tooltip="https://roic.ai/company/LTHM" display="ROIC.AI | LTH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42924/000174292419000013/0001742924-19-000013-index.html" xr:uid="{00000000-0004-0000-0000-00000A000000}"/>
    <hyperlink ref="E74" r:id="rId9" tooltip="https://www.sec.gov/Archives/edgar/data/1742924/000174292419000013/0001742924-19-000013-index.html" xr:uid="{00000000-0004-0000-0000-00000B000000}"/>
    <hyperlink ref="F36" r:id="rId10" tooltip="https://www.sec.gov/Archives/edgar/data/1742924/000174292420000012/0001742924-20-000012-index.html" xr:uid="{00000000-0004-0000-0000-00000D000000}"/>
    <hyperlink ref="F74" r:id="rId11" tooltip="https://www.sec.gov/Archives/edgar/data/1742924/000174292420000012/0001742924-20-000012-index.html" xr:uid="{00000000-0004-0000-0000-00000E000000}"/>
    <hyperlink ref="G36" r:id="rId12" tooltip="https://www.sec.gov/Archives/edgar/data/1742924/000174292421000016/0001742924-21-000016-index.htm" xr:uid="{00000000-0004-0000-0000-000010000000}"/>
    <hyperlink ref="G74" r:id="rId13" tooltip="https://www.sec.gov/Archives/edgar/data/1742924/000174292421000016/0001742924-21-000016-index.htm" xr:uid="{00000000-0004-0000-0000-000011000000}"/>
    <hyperlink ref="H36" r:id="rId14" tooltip="https://www.sec.gov/Archives/edgar/data/1742924/000174292422000007/0001742924-22-000007-index.htm" xr:uid="{00000000-0004-0000-0000-000013000000}"/>
    <hyperlink ref="H74" r:id="rId15" tooltip="https://www.sec.gov/Archives/edgar/data/1742924/000174292422000007/0001742924-22-000007-index.htm" xr:uid="{00000000-0004-0000-0000-000014000000}"/>
    <hyperlink ref="I36" r:id="rId16" tooltip="https://www.sec.gov/Archives/edgar/data/1742924/000174292423000009/0001742924-23-000009-index.htm" xr:uid="{00000000-0004-0000-0000-000016000000}"/>
    <hyperlink ref="I74" r:id="rId17" tooltip="https://www.sec.gov/Archives/edgar/data/1742924/000174292423000009/0001742924-23-000009-index.htm" xr:uid="{00000000-0004-0000-0000-000017000000}"/>
    <hyperlink ref="J1" r:id="rId18" display="https://finbox.com/NYSE:LTHM/explorer/revenue_proj" xr:uid="{D0F11036-7228-854D-BE37-84B65CC55A93}"/>
    <hyperlink ref="O106" r:id="rId19" xr:uid="{4FE5A229-2CE5-A045-8230-519400F9EB3F}"/>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2023-03-13T00:14:48Z</dcterms:created>
  <dcterms:modified xsi:type="dcterms:W3CDTF">2023-07-11T09:27:14Z</dcterms:modified>
</cp:coreProperties>
</file>