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bina/Documents/financial-modeling/Technology/Hardware/"/>
    </mc:Choice>
  </mc:AlternateContent>
  <xr:revisionPtr revIDLastSave="0" documentId="13_ncr:1_{47FB2695-CDC0-6743-8B31-B732FBBAEC73}" xr6:coauthVersionLast="47" xr6:coauthVersionMax="47" xr10:uidLastSave="{00000000-0000-0000-0000-000000000000}"/>
  <bookViews>
    <workbookView xWindow="0" yWindow="500" windowWidth="28800" windowHeight="17500" xr2:uid="{00000000-000D-0000-FFFF-FFFF00000000}"/>
  </bookViews>
  <sheets>
    <sheet name="Sheet 1"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4" i="1" l="1"/>
  <c r="F108" i="1"/>
  <c r="G108" i="1"/>
  <c r="H108" i="1"/>
  <c r="I108" i="1"/>
  <c r="B105" i="1" l="1"/>
  <c r="C105" i="1"/>
  <c r="D105" i="1"/>
  <c r="E105" i="1"/>
  <c r="K16" i="1" l="1"/>
  <c r="G30" i="1"/>
  <c r="H30" i="1"/>
  <c r="I30" i="1"/>
  <c r="J30" i="1"/>
  <c r="F30" i="1"/>
  <c r="F29" i="1"/>
  <c r="G29" i="1"/>
  <c r="H29" i="1"/>
  <c r="I29" i="1"/>
  <c r="J29" i="1"/>
  <c r="G21" i="1"/>
  <c r="H21" i="1"/>
  <c r="I21" i="1"/>
  <c r="J21" i="1"/>
  <c r="F21" i="1"/>
  <c r="F20" i="1"/>
  <c r="G20" i="1"/>
  <c r="H20" i="1"/>
  <c r="I20" i="1"/>
  <c r="J20" i="1"/>
  <c r="G116" i="1" a="1"/>
  <c r="G116" i="1" s="1"/>
  <c r="M88" i="1"/>
  <c r="M85" i="1"/>
  <c r="M101" i="1" a="1"/>
  <c r="M101" i="1" s="1"/>
  <c r="G111" i="1"/>
  <c r="M90" i="1"/>
  <c r="M89" i="1"/>
  <c r="M91" i="1" s="1"/>
  <c r="M87" i="1"/>
  <c r="M86" i="1"/>
  <c r="M99" i="1" s="1"/>
  <c r="M92" i="1"/>
  <c r="K19" i="1"/>
  <c r="N13" i="1"/>
  <c r="M13" i="1"/>
  <c r="L13" i="1"/>
  <c r="K13" i="1"/>
  <c r="N10" i="1"/>
  <c r="M10" i="1"/>
  <c r="L10" i="1"/>
  <c r="K10" i="1"/>
  <c r="N7" i="1"/>
  <c r="M7" i="1"/>
  <c r="L7" i="1"/>
  <c r="K7" i="1"/>
  <c r="M4" i="1"/>
  <c r="L4" i="1"/>
  <c r="K4" i="1"/>
  <c r="J4" i="1"/>
  <c r="I4" i="1"/>
  <c r="H4" i="1"/>
  <c r="G4" i="1"/>
  <c r="F4" i="1"/>
  <c r="E106" i="1"/>
  <c r="N4" i="1" s="1"/>
  <c r="D106" i="1"/>
  <c r="C106" i="1"/>
  <c r="E89" i="1"/>
  <c r="D89" i="1"/>
  <c r="C89" i="1"/>
  <c r="B89" i="1"/>
  <c r="E80" i="1"/>
  <c r="D80" i="1"/>
  <c r="C80" i="1"/>
  <c r="B80" i="1"/>
  <c r="E35" i="1"/>
  <c r="D35" i="1"/>
  <c r="C35" i="1"/>
  <c r="E29" i="1"/>
  <c r="D29" i="1"/>
  <c r="C29" i="1"/>
  <c r="E20" i="1"/>
  <c r="D20" i="1"/>
  <c r="C20" i="1"/>
  <c r="E13" i="1"/>
  <c r="D13" i="1"/>
  <c r="C13" i="1"/>
  <c r="B13" i="1"/>
  <c r="E9" i="1"/>
  <c r="D9" i="1"/>
  <c r="C9" i="1"/>
  <c r="B9" i="1"/>
  <c r="E4" i="1"/>
  <c r="D4" i="1"/>
  <c r="C4" i="1"/>
  <c r="N22" i="1" l="1"/>
  <c r="M22" i="1"/>
  <c r="L16" i="1"/>
  <c r="M19" i="1"/>
  <c r="L19" i="1"/>
  <c r="M16" i="1"/>
  <c r="M106" i="1"/>
  <c r="F105" i="1" s="1"/>
  <c r="G105" i="1" s="1"/>
  <c r="H105" i="1" s="1"/>
  <c r="I105" i="1" s="1"/>
  <c r="J105" i="1" s="1"/>
  <c r="M103" i="1"/>
  <c r="M100" i="1" s="1"/>
  <c r="G112" i="1"/>
  <c r="N16" i="1"/>
  <c r="N19" i="1" l="1"/>
  <c r="M102" i="1"/>
  <c r="M94" i="1" l="1"/>
  <c r="M97" i="1" s="1"/>
  <c r="M105" i="1" s="1"/>
  <c r="M108" i="1" s="1"/>
  <c r="J107" i="1" l="1"/>
  <c r="J108" i="1" s="1"/>
  <c r="G110" i="1" s="1"/>
  <c r="G113" i="1" s="1"/>
  <c r="G115" i="1" s="1"/>
  <c r="G117" i="1" l="1"/>
  <c r="G118" i="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DAPR" minSupportedVersion="120000" copy="1" pasteAll="1" pasteValues="1" merge="1" splitFirst="1" rowColShift="1" clearFormats="1" clearComments="1" assign="1" coerce="1" cellMeta="1"/>
    <metadataType name="XLRICHVALUE" minSupportedVersion="120000" copy="1" pasteAll="1" pasteValues="1" merge="1" splitFirst="1" rowColShift="1" clearFormats="1" clearComments="1" assign="1" coerce="1"/>
  </metadataTypes>
  <futureMetadata name="XLDAPR" count="1">
    <bk>
      <extLst>
        <ext uri="{bdbb8cdc-fa1e-496e-a857-3c3f30c029c3}">
          <xda:dynamicArrayProperties fDynamic="1" fCollapsed="0"/>
        </ext>
      </extLst>
    </bk>
  </futureMetadata>
  <futureMetadata name="XLRICHVALUE" count="1">
    <bk>
      <extLst>
        <ext uri="{3e2802c4-a4d2-4d8b-9148-e3be6c30e623}">
          <xlrd:rvb i="1"/>
        </ext>
      </extLst>
    </bk>
  </futureMetadata>
  <cellMetadata count="1">
    <bk>
      <rc t="1" v="0"/>
    </bk>
  </cellMetadata>
  <valueMetadata count="1">
    <bk>
      <rc t="2" v="0"/>
    </bk>
  </valueMetadata>
</metadata>
</file>

<file path=xl/sharedStrings.xml><?xml version="1.0" encoding="utf-8"?>
<sst xmlns="http://schemas.openxmlformats.org/spreadsheetml/2006/main" count="305" uniqueCount="167">
  <si>
    <t>INCOME STATEMENT (in mln.)</t>
  </si>
  <si>
    <t>Revenue</t>
  </si>
  <si>
    <t>COGS</t>
  </si>
  <si>
    <t>Gross Profit</t>
  </si>
  <si>
    <t>Gross Profit ratio</t>
  </si>
  <si>
    <t>Research and Development Exp.</t>
  </si>
  <si>
    <t>General and Administrative Exp.</t>
  </si>
  <si>
    <t>Selling and Marketing Exp.</t>
  </si>
  <si>
    <t>Selling, General and Administrative Exp.</t>
  </si>
  <si>
    <t>Other Expenses</t>
  </si>
  <si>
    <t>Operating Expenses</t>
  </si>
  <si>
    <t>COGS and Expenses</t>
  </si>
  <si>
    <t>Interest Expenese</t>
  </si>
  <si>
    <t>Depreciation and Amortization</t>
  </si>
  <si>
    <t>EBITDA</t>
  </si>
  <si>
    <t>EBITDA ratio</t>
  </si>
  <si>
    <t>Operating Income</t>
  </si>
  <si>
    <t>Operating Income ratio</t>
  </si>
  <si>
    <t>Total Other Income Expenses Net</t>
  </si>
  <si>
    <t>Income Before Tax</t>
  </si>
  <si>
    <t>Income Before Tax ratio</t>
  </si>
  <si>
    <t>Income Tax expense</t>
  </si>
  <si>
    <t>Net Income</t>
  </si>
  <si>
    <t>Net Income ratio</t>
  </si>
  <si>
    <t>EPS</t>
  </si>
  <si>
    <t>EPS Diluted</t>
  </si>
  <si>
    <t>Weighted Average Shares Outstanding</t>
  </si>
  <si>
    <t>Weighted Average Shares Outstanding Diluted</t>
  </si>
  <si>
    <t>SEC Link</t>
  </si>
  <si>
    <t>BALANCE SHEET (in mln.)</t>
  </si>
  <si>
    <t>Cash and Cash Equivalents</t>
  </si>
  <si>
    <t>Short-Term Investments</t>
  </si>
  <si>
    <t>Cash and Short-Term Investments</t>
  </si>
  <si>
    <t>Net Receivables</t>
  </si>
  <si>
    <t>Inventory</t>
  </si>
  <si>
    <t>Other Current Assets</t>
  </si>
  <si>
    <t>Total Current Assets</t>
  </si>
  <si>
    <t>PP&amp;E</t>
  </si>
  <si>
    <t>Goodwill</t>
  </si>
  <si>
    <t>Intangible Assets</t>
  </si>
  <si>
    <t>Goodwill and Intangible Assets</t>
  </si>
  <si>
    <t>Investments</t>
  </si>
  <si>
    <t>Tax Assets</t>
  </si>
  <si>
    <t>Other Non-Current Assets</t>
  </si>
  <si>
    <t>Total Non-Current Assets</t>
  </si>
  <si>
    <t>Other Assets</t>
  </si>
  <si>
    <t>Total Assets</t>
  </si>
  <si>
    <t>Accounts Payable</t>
  </si>
  <si>
    <t>Short-Term Debt</t>
  </si>
  <si>
    <t>Tax Payable</t>
  </si>
  <si>
    <t>Deferred Revenue</t>
  </si>
  <si>
    <t>Other Current Liabilities</t>
  </si>
  <si>
    <t>Total Current Liabilities</t>
  </si>
  <si>
    <t>Long-Term Debt</t>
  </si>
  <si>
    <t>Deferred Tax Liabilities</t>
  </si>
  <si>
    <t>Other Non-Current Liabilities</t>
  </si>
  <si>
    <t>Total Non-Current Liabilities</t>
  </si>
  <si>
    <t>Other Liabilities</t>
  </si>
  <si>
    <t>Total Liabilities</t>
  </si>
  <si>
    <t>Common Stock</t>
  </si>
  <si>
    <t>Retained Earnings</t>
  </si>
  <si>
    <t>Other Comprehensive Income/Loss</t>
  </si>
  <si>
    <t>Other Total Stockholders Equity</t>
  </si>
  <si>
    <t>Total Stockholders Equity</t>
  </si>
  <si>
    <t>Total Liabilities And Stockholders Equity</t>
  </si>
  <si>
    <t>CASH FLOW STATEMENT (in mln.)</t>
  </si>
  <si>
    <t>Net Income</t>
  </si>
  <si>
    <t>Deferred Income Tax</t>
  </si>
  <si>
    <t>Stock Based Compensation</t>
  </si>
  <si>
    <t>Change in Working Capital</t>
  </si>
  <si>
    <t>Accounts Receivable</t>
  </si>
  <si>
    <t>Other Working Capital</t>
  </si>
  <si>
    <t>Other Non-Cash Items</t>
  </si>
  <si>
    <t>Cash Provided by Operating Activities</t>
  </si>
  <si>
    <t>CAPEX</t>
  </si>
  <si>
    <t>Acquisitions Net</t>
  </si>
  <si>
    <t>Purchases of Investments</t>
  </si>
  <si>
    <t>Sales/Maturities of Investments</t>
  </si>
  <si>
    <t>Other Investing Activites</t>
  </si>
  <si>
    <t>Cash Used for Investing Activites</t>
  </si>
  <si>
    <t>Debt Repayment</t>
  </si>
  <si>
    <t>Common Stock Issued</t>
  </si>
  <si>
    <t>Common Stock Repurchased</t>
  </si>
  <si>
    <t>Dividends Paid</t>
  </si>
  <si>
    <t>Other Financing Activites</t>
  </si>
  <si>
    <t>Cash Used/Provided by Financing Activities</t>
  </si>
  <si>
    <t>Effect of Forex Changes on Cash</t>
  </si>
  <si>
    <t>Net Change In Cash</t>
  </si>
  <si>
    <t>Cash at the Beginning of Period</t>
  </si>
  <si>
    <t>Cash at the End of Period</t>
  </si>
  <si>
    <t/>
  </si>
  <si>
    <t>- -</t>
  </si>
  <si>
    <t>link</t>
  </si>
  <si>
    <t>Revenue Growth YoY</t>
  </si>
  <si>
    <t>R&amp;D as % of Revenue</t>
  </si>
  <si>
    <t>R&amp;D % of Rev</t>
  </si>
  <si>
    <t>SG&amp;A % of Rev</t>
  </si>
  <si>
    <t>SBC % of Revenue</t>
  </si>
  <si>
    <t>CAPEX % of Rev</t>
  </si>
  <si>
    <t>SG&amp;A as % of Revenue</t>
  </si>
  <si>
    <t>EBITDA Growth YoY</t>
  </si>
  <si>
    <t>Net Income Growth YoY</t>
  </si>
  <si>
    <t>Share Dilution YoY</t>
  </si>
  <si>
    <t>SBC as % of Revenue</t>
  </si>
  <si>
    <t>CAPEX as % of Revenue</t>
  </si>
  <si>
    <t>Income Tax Expense</t>
  </si>
  <si>
    <t>WACC</t>
  </si>
  <si>
    <t>3yr Rev Growth</t>
  </si>
  <si>
    <t>3yr EBITDA Growth</t>
  </si>
  <si>
    <t>3yr Net Income Growth</t>
  </si>
  <si>
    <t>3yr FCF Growth</t>
  </si>
  <si>
    <t>Gross Profit Margin</t>
  </si>
  <si>
    <t>EBITDA Margin</t>
  </si>
  <si>
    <t>Net Income Margin</t>
  </si>
  <si>
    <t>FCF Margin</t>
  </si>
  <si>
    <t>ROE</t>
  </si>
  <si>
    <t>ROA</t>
  </si>
  <si>
    <t>ROIC</t>
  </si>
  <si>
    <t>Debt to Equity</t>
  </si>
  <si>
    <t>P/S</t>
  </si>
  <si>
    <t>P/E</t>
  </si>
  <si>
    <t>P/FCF</t>
  </si>
  <si>
    <t>Net Cash</t>
  </si>
  <si>
    <t>Weighted Average Cost of Capital</t>
  </si>
  <si>
    <t>Cost of Debt Calculation</t>
  </si>
  <si>
    <t>Interest Expense</t>
  </si>
  <si>
    <t>Short Term Debt</t>
  </si>
  <si>
    <t>Long Term Debt</t>
  </si>
  <si>
    <t>Cost of Debt</t>
  </si>
  <si>
    <t>Effective Tax Rate</t>
  </si>
  <si>
    <t>Cost of Debt*(1-t)</t>
  </si>
  <si>
    <t>Cost of Equity Calculation</t>
  </si>
  <si>
    <t>Risk Free Rate</t>
  </si>
  <si>
    <t>Beta</t>
  </si>
  <si>
    <t>Market Return</t>
  </si>
  <si>
    <t>Cost of Equity</t>
  </si>
  <si>
    <t>Weight of Debt + Equity Calculation</t>
  </si>
  <si>
    <t>Total Debt</t>
  </si>
  <si>
    <t>Weight of Debt</t>
  </si>
  <si>
    <t>Market Cap</t>
  </si>
  <si>
    <t>Weight of Equity</t>
  </si>
  <si>
    <t>Total</t>
  </si>
  <si>
    <t>WACC Calculation</t>
  </si>
  <si>
    <t>FCF Growth Rate</t>
  </si>
  <si>
    <t>Terminal Value</t>
  </si>
  <si>
    <t>Perpetual Growth Rate</t>
  </si>
  <si>
    <t>Discount Rate (WACC)</t>
  </si>
  <si>
    <t>Discounted Cash Flow Valuation</t>
  </si>
  <si>
    <t>Enterprise Value</t>
  </si>
  <si>
    <t>Cash + Securities</t>
  </si>
  <si>
    <t>Equity Value</t>
  </si>
  <si>
    <t>Intrinsic Value</t>
  </si>
  <si>
    <t>Current Price</t>
  </si>
  <si>
    <t>Upside/Downside</t>
  </si>
  <si>
    <t>Buy/Sell</t>
  </si>
  <si>
    <t>Share Dilution (3yr)</t>
  </si>
  <si>
    <t>Forward P/S</t>
  </si>
  <si>
    <t>Forward P/FCF</t>
  </si>
  <si>
    <t>Forward P/E</t>
  </si>
  <si>
    <t>Levered FCF</t>
  </si>
  <si>
    <t>Levered FCF Growth YoY</t>
  </si>
  <si>
    <t>Unlevered FCF</t>
  </si>
  <si>
    <t>Unlevered FCF Forecast</t>
  </si>
  <si>
    <t>Unlevered FCF Proj</t>
  </si>
  <si>
    <t>Dividend Yield</t>
  </si>
  <si>
    <t>FCF Yield</t>
  </si>
  <si>
    <t>Shares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</si>
</sst>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 \-\ \-"/>
    <numFmt numFmtId="165" formatCode="#.00%;\ \-#.00%;\ \-\ \-"/>
    <numFmt numFmtId="166" formatCode="#,##0.00_);\(#,##0.00\);\-\ \-"/>
    <numFmt numFmtId="167" formatCode="&quot;$&quot;#,##0.00"/>
    <numFmt numFmtId="168" formatCode="0.0"/>
    <numFmt numFmtId="169" formatCode="0.0%"/>
  </numFmts>
  <fonts count="17" x14ac:knownFonts="1">
    <font>
      <sz val="12"/>
      <color rgb="FF000000"/>
      <name val="Calibri"/>
      <family val="1"/>
    </font>
    <font>
      <sz val="14"/>
      <color rgb="FF000000"/>
      <name val="Calibri"/>
      <family val="1"/>
    </font>
    <font>
      <i/>
      <sz val="14"/>
      <color rgb="FF000000"/>
      <name val="Calibri"/>
      <family val="1"/>
    </font>
    <font>
      <b/>
      <u/>
      <sz val="16"/>
      <color rgb="FF000000"/>
      <name val="Calibri"/>
      <family val="1"/>
    </font>
    <font>
      <b/>
      <sz val="16"/>
      <color rgb="FF000000"/>
      <name val="Calibri"/>
      <family val="1"/>
    </font>
    <font>
      <sz val="14"/>
      <color rgb="FF000000"/>
      <name val="Calibri"/>
      <family val="1"/>
    </font>
    <font>
      <b/>
      <sz val="14"/>
      <color rgb="FF000000"/>
      <name val="Calibri"/>
      <family val="1"/>
    </font>
    <font>
      <u/>
      <sz val="14"/>
      <color rgb="FFAEAEAE"/>
      <name val="Calibri"/>
      <family val="1"/>
    </font>
    <font>
      <sz val="12"/>
      <color rgb="FF000000"/>
      <name val="Calibri"/>
      <family val="1"/>
    </font>
    <font>
      <u/>
      <sz val="14"/>
      <color rgb="FF000000"/>
      <name val="Calibri"/>
      <family val="1"/>
    </font>
    <font>
      <i/>
      <sz val="14"/>
      <color rgb="FF000000"/>
      <name val="Calibri"/>
      <family val="2"/>
    </font>
    <font>
      <sz val="14"/>
      <color rgb="FF000000"/>
      <name val="Calibri"/>
      <family val="2"/>
    </font>
    <font>
      <b/>
      <sz val="14"/>
      <color rgb="FF000000"/>
      <name val="Calibri"/>
      <family val="2"/>
    </font>
    <font>
      <b/>
      <i/>
      <sz val="14"/>
      <color rgb="FF000000"/>
      <name val="Calibri"/>
      <family val="2"/>
    </font>
    <font>
      <b/>
      <sz val="16"/>
      <color rgb="FF000000"/>
      <name val="Calibri"/>
      <family val="2"/>
    </font>
    <font>
      <b/>
      <u/>
      <sz val="16"/>
      <color rgb="FF000000"/>
      <name val="Calibri"/>
      <family val="2"/>
    </font>
    <font>
      <sz val="12"/>
      <color rgb="FF000000"/>
      <name val="Calibri"/>
      <family val="2"/>
    </font>
  </fonts>
  <fills count="8">
    <fill>
      <patternFill patternType="none"/>
    </fill>
    <fill>
      <patternFill patternType="gray125"/>
    </fill>
    <fill>
      <patternFill patternType="solid">
        <fgColor rgb="FFEEEEEE"/>
      </patternFill>
    </fill>
    <fill>
      <patternFill patternType="solid">
        <fgColor rgb="FFB4C6E7"/>
        <bgColor rgb="FF000000"/>
      </patternFill>
    </fill>
    <fill>
      <patternFill patternType="solid">
        <fgColor theme="0" tint="-0.14999847407452621"/>
        <bgColor indexed="64"/>
      </patternFill>
    </fill>
    <fill>
      <patternFill patternType="solid">
        <fgColor theme="4" tint="0.59999389629810485"/>
        <bgColor indexed="64"/>
      </patternFill>
    </fill>
    <fill>
      <patternFill patternType="solid">
        <fgColor theme="2"/>
        <bgColor indexed="64"/>
      </patternFill>
    </fill>
    <fill>
      <patternFill patternType="solid">
        <fgColor theme="5" tint="0.59999389629810485"/>
        <bgColor indexed="64"/>
      </patternFill>
    </fill>
  </fills>
  <borders count="11">
    <border>
      <left/>
      <right/>
      <top/>
      <bottom/>
      <diagonal/>
    </border>
    <border>
      <left/>
      <right style="medium">
        <color rgb="FF000000"/>
      </right>
      <top/>
      <bottom style="medium">
        <color rgb="FF000000"/>
      </bottom>
      <diagonal/>
    </border>
    <border>
      <left/>
      <right/>
      <top style="thin">
        <color rgb="FF000000"/>
      </top>
      <bottom/>
      <diagonal/>
    </border>
    <border>
      <left/>
      <right/>
      <top style="thin">
        <color rgb="FF000000"/>
      </top>
      <bottom style="double">
        <color rgb="FF000000"/>
      </bottom>
      <diagonal/>
    </border>
    <border>
      <left/>
      <right/>
      <top/>
      <bottom style="medium">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9" fontId="8" fillId="0" borderId="0" applyFont="0" applyFill="0" applyBorder="0" applyAlignment="0" applyProtection="0"/>
  </cellStyleXfs>
  <cellXfs count="68">
    <xf numFmtId="0" fontId="0" fillId="0" borderId="0" xfId="0"/>
    <xf numFmtId="164" fontId="1" fillId="0" borderId="0" xfId="0" applyNumberFormat="1" applyFont="1"/>
    <xf numFmtId="165" fontId="2" fillId="0" borderId="0" xfId="0" applyNumberFormat="1" applyFont="1"/>
    <xf numFmtId="0" fontId="3" fillId="0" borderId="1" xfId="0" applyFont="1" applyBorder="1"/>
    <xf numFmtId="0" fontId="4" fillId="2" borderId="0" xfId="0" applyFont="1" applyFill="1"/>
    <xf numFmtId="0" fontId="5" fillId="0" borderId="0" xfId="0" applyFont="1" applyAlignment="1">
      <alignment indent="1"/>
    </xf>
    <xf numFmtId="164" fontId="6" fillId="0" borderId="2" xfId="0" applyNumberFormat="1" applyFont="1" applyBorder="1" applyAlignment="1">
      <alignment indent="1"/>
    </xf>
    <xf numFmtId="164" fontId="6" fillId="0" borderId="3" xfId="0" applyNumberFormat="1" applyFont="1" applyBorder="1" applyAlignment="1">
      <alignment indent="1"/>
    </xf>
    <xf numFmtId="0" fontId="6" fillId="0" borderId="4" xfId="0" applyFont="1" applyBorder="1"/>
    <xf numFmtId="0" fontId="0" fillId="2" borderId="0" xfId="0" applyFill="1"/>
    <xf numFmtId="164" fontId="6" fillId="0" borderId="2" xfId="0" applyNumberFormat="1" applyFont="1" applyBorder="1"/>
    <xf numFmtId="164" fontId="6" fillId="0" borderId="3" xfId="0" applyNumberFormat="1" applyFont="1" applyBorder="1"/>
    <xf numFmtId="166" fontId="1" fillId="0" borderId="0" xfId="0" applyNumberFormat="1" applyFont="1"/>
    <xf numFmtId="0" fontId="7" fillId="0" borderId="0" xfId="0" applyFont="1"/>
    <xf numFmtId="0" fontId="9" fillId="0" borderId="0" xfId="0" applyFont="1" applyAlignment="1">
      <alignment indent="1"/>
    </xf>
    <xf numFmtId="9" fontId="1" fillId="0" borderId="0" xfId="0" applyNumberFormat="1" applyFont="1"/>
    <xf numFmtId="9" fontId="10" fillId="0" borderId="0" xfId="0" applyNumberFormat="1" applyFont="1"/>
    <xf numFmtId="9" fontId="11" fillId="0" borderId="5" xfId="0" applyNumberFormat="1" applyFont="1" applyBorder="1" applyAlignment="1">
      <alignment horizontal="center"/>
    </xf>
    <xf numFmtId="9" fontId="11" fillId="0" borderId="0" xfId="0" applyNumberFormat="1" applyFont="1" applyAlignment="1">
      <alignment horizontal="center"/>
    </xf>
    <xf numFmtId="0" fontId="12" fillId="3" borderId="6" xfId="0" applyFont="1" applyFill="1" applyBorder="1" applyAlignment="1">
      <alignment horizontal="center" vertical="center" wrapText="1"/>
    </xf>
    <xf numFmtId="0" fontId="12" fillId="3" borderId="7" xfId="0" applyFont="1" applyFill="1" applyBorder="1" applyAlignment="1">
      <alignment horizontal="center" vertical="center" wrapText="1"/>
    </xf>
    <xf numFmtId="9" fontId="11" fillId="0" borderId="8" xfId="0" applyNumberFormat="1" applyFont="1" applyBorder="1" applyAlignment="1">
      <alignment horizontal="center"/>
    </xf>
    <xf numFmtId="2" fontId="11" fillId="0" borderId="8" xfId="0" applyNumberFormat="1" applyFont="1" applyBorder="1" applyAlignment="1">
      <alignment horizontal="center"/>
    </xf>
    <xf numFmtId="10" fontId="1" fillId="0" borderId="0" xfId="0" applyNumberFormat="1" applyFont="1"/>
    <xf numFmtId="0" fontId="13" fillId="0" borderId="4" xfId="0" applyFont="1" applyBorder="1"/>
    <xf numFmtId="164" fontId="10" fillId="0" borderId="0" xfId="0" applyNumberFormat="1" applyFont="1"/>
    <xf numFmtId="9" fontId="11" fillId="0" borderId="9" xfId="0" applyNumberFormat="1" applyFont="1" applyBorder="1" applyAlignment="1">
      <alignment horizontal="center"/>
    </xf>
    <xf numFmtId="164" fontId="1" fillId="0" borderId="6" xfId="0" applyNumberFormat="1" applyFont="1" applyBorder="1" applyAlignment="1">
      <alignment horizontal="center"/>
    </xf>
    <xf numFmtId="164" fontId="10" fillId="4" borderId="0" xfId="0" applyNumberFormat="1" applyFont="1" applyFill="1"/>
    <xf numFmtId="0" fontId="0" fillId="4" borderId="0" xfId="0" applyFill="1"/>
    <xf numFmtId="0" fontId="0" fillId="4" borderId="0" xfId="0" applyFill="1" applyAlignment="1">
      <alignment horizontal="left"/>
    </xf>
    <xf numFmtId="164" fontId="13" fillId="0" borderId="2" xfId="0" applyNumberFormat="1" applyFont="1" applyBorder="1"/>
    <xf numFmtId="165" fontId="10" fillId="0" borderId="10" xfId="0" applyNumberFormat="1" applyFont="1" applyBorder="1"/>
    <xf numFmtId="164" fontId="13" fillId="0" borderId="3" xfId="0" applyNumberFormat="1" applyFont="1" applyBorder="1"/>
    <xf numFmtId="165" fontId="10" fillId="0" borderId="0" xfId="0" applyNumberFormat="1" applyFont="1"/>
    <xf numFmtId="166" fontId="10" fillId="0" borderId="0" xfId="0" applyNumberFormat="1" applyFont="1"/>
    <xf numFmtId="168" fontId="11" fillId="0" borderId="9" xfId="0" applyNumberFormat="1" applyFont="1" applyBorder="1" applyAlignment="1">
      <alignment horizontal="center"/>
    </xf>
    <xf numFmtId="168" fontId="11" fillId="0" borderId="5" xfId="0" applyNumberFormat="1" applyFont="1" applyBorder="1" applyAlignment="1">
      <alignment horizontal="center"/>
    </xf>
    <xf numFmtId="164" fontId="10" fillId="7" borderId="0" xfId="0" applyNumberFormat="1" applyFont="1" applyFill="1"/>
    <xf numFmtId="164" fontId="1" fillId="7" borderId="0" xfId="0" applyNumberFormat="1" applyFont="1" applyFill="1"/>
    <xf numFmtId="0" fontId="1" fillId="0" borderId="0" xfId="0" applyFont="1" applyAlignment="1">
      <alignment indent="1"/>
    </xf>
    <xf numFmtId="169" fontId="11" fillId="0" borderId="5" xfId="0" applyNumberFormat="1" applyFont="1" applyBorder="1" applyAlignment="1">
      <alignment horizontal="center"/>
    </xf>
    <xf numFmtId="169" fontId="11" fillId="0" borderId="8" xfId="0" applyNumberFormat="1" applyFont="1" applyBorder="1" applyAlignment="1">
      <alignment horizontal="center"/>
    </xf>
    <xf numFmtId="0" fontId="11" fillId="4" borderId="0" xfId="0" applyFont="1" applyFill="1" applyAlignment="1">
      <alignment horizontal="left" vertical="center" wrapText="1"/>
    </xf>
    <xf numFmtId="164" fontId="11" fillId="4" borderId="0" xfId="0" applyNumberFormat="1" applyFont="1" applyFill="1"/>
    <xf numFmtId="0" fontId="12" fillId="4" borderId="0" xfId="0" applyFont="1" applyFill="1" applyAlignment="1">
      <alignment horizontal="left" vertical="center" wrapText="1"/>
    </xf>
    <xf numFmtId="10" fontId="12" fillId="4" borderId="0" xfId="0" applyNumberFormat="1" applyFont="1" applyFill="1"/>
    <xf numFmtId="10" fontId="11" fillId="4" borderId="0" xfId="0" applyNumberFormat="1" applyFont="1" applyFill="1"/>
    <xf numFmtId="39" fontId="11" fillId="4" borderId="0" xfId="0" applyNumberFormat="1" applyFont="1" applyFill="1"/>
    <xf numFmtId="164" fontId="1" fillId="4" borderId="0" xfId="0" applyNumberFormat="1" applyFont="1" applyFill="1"/>
    <xf numFmtId="164" fontId="12" fillId="4" borderId="0" xfId="0" applyNumberFormat="1" applyFont="1" applyFill="1"/>
    <xf numFmtId="0" fontId="12" fillId="5" borderId="0" xfId="0" applyFont="1" applyFill="1" applyAlignment="1">
      <alignment horizontal="left" vertical="center" wrapText="1"/>
    </xf>
    <xf numFmtId="10" fontId="12" fillId="5" borderId="0" xfId="0" applyNumberFormat="1" applyFont="1" applyFill="1"/>
    <xf numFmtId="9" fontId="16" fillId="4" borderId="0" xfId="0" applyNumberFormat="1" applyFont="1" applyFill="1" applyAlignment="1">
      <alignment wrapText="1"/>
    </xf>
    <xf numFmtId="10" fontId="1" fillId="4" borderId="0" xfId="0" applyNumberFormat="1" applyFont="1" applyFill="1" applyAlignment="1">
      <alignment horizontal="right" vertical="center"/>
    </xf>
    <xf numFmtId="0" fontId="16" fillId="7" borderId="0" xfId="0" applyFont="1" applyFill="1" applyAlignment="1">
      <alignment wrapText="1"/>
    </xf>
    <xf numFmtId="10" fontId="1" fillId="7" borderId="0" xfId="0" applyNumberFormat="1" applyFont="1" applyFill="1" applyAlignment="1">
      <alignment horizontal="right" vertical="center"/>
    </xf>
    <xf numFmtId="0" fontId="16" fillId="4" borderId="0" xfId="0" applyFont="1" applyFill="1"/>
    <xf numFmtId="164" fontId="1" fillId="4" borderId="0" xfId="0" applyNumberFormat="1" applyFont="1" applyFill="1" applyAlignment="1">
      <alignment wrapText="1"/>
    </xf>
    <xf numFmtId="164" fontId="1" fillId="5" borderId="0" xfId="0" applyNumberFormat="1" applyFont="1" applyFill="1" applyAlignment="1">
      <alignment wrapText="1"/>
    </xf>
    <xf numFmtId="167" fontId="12" fillId="5" borderId="0" xfId="0" applyNumberFormat="1" applyFont="1" applyFill="1"/>
    <xf numFmtId="167" fontId="1" fillId="4" borderId="0" xfId="0" applyNumberFormat="1" applyFont="1" applyFill="1"/>
    <xf numFmtId="9" fontId="12" fillId="5" borderId="0" xfId="1" applyFont="1" applyFill="1" applyBorder="1"/>
    <xf numFmtId="0" fontId="12" fillId="5" borderId="0" xfId="0" applyFont="1" applyFill="1" applyAlignment="1">
      <alignment horizontal="right"/>
    </xf>
    <xf numFmtId="0" fontId="1" fillId="5" borderId="0" xfId="0" applyFont="1" applyFill="1" applyAlignment="1">
      <alignment horizontal="center"/>
    </xf>
    <xf numFmtId="0" fontId="14" fillId="5" borderId="0" xfId="0" applyFont="1" applyFill="1" applyAlignment="1">
      <alignment horizontal="center"/>
    </xf>
    <xf numFmtId="0" fontId="15" fillId="5" borderId="0" xfId="0" applyFont="1" applyFill="1" applyAlignment="1">
      <alignment horizontal="center"/>
    </xf>
    <xf numFmtId="0" fontId="12" fillId="6" borderId="0" xfId="0" applyFont="1" applyFill="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alcChain" Target="calcChain.xml"/><Relationship Id="rId3" Type="http://schemas.openxmlformats.org/officeDocument/2006/relationships/theme" Target="theme/theme1.xml"/><Relationship Id="rId7" Type="http://schemas.microsoft.com/office/2017/06/relationships/rdRichValue" Target="richData/rdrichvalue.xml"/><Relationship Id="rId12" Type="http://schemas.microsoft.com/office/2017/06/relationships/rdRichValueTypes" Target="richData/rdRichValueTyp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dSupportingPropertyBag" Target="richData/rdsupportingpropertybag.xml"/><Relationship Id="rId5" Type="http://schemas.openxmlformats.org/officeDocument/2006/relationships/sharedStrings" Target="sharedStrings.xml"/><Relationship Id="rId10" Type="http://schemas.microsoft.com/office/2017/06/relationships/rdSupportingPropertyBagStructure" Target="richData/rdsupportingpropertybagstructure.xml"/><Relationship Id="rId4" Type="http://schemas.openxmlformats.org/officeDocument/2006/relationships/styles" Target="styles.xml"/><Relationship Id="rId9" Type="http://schemas.microsoft.com/office/2017/06/relationships/richStyles" Target="richData/rich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400"/>
              <a:t>Mobileye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9.0653399668325044E-2"/>
          <c:y val="0.15950882908190342"/>
          <c:w val="0.83770480928689872"/>
          <c:h val="0.70445188337853482"/>
        </c:manualLayout>
      </c:layout>
      <c:barChart>
        <c:barDir val="col"/>
        <c:grouping val="clustered"/>
        <c:varyColors val="0"/>
        <c:ser>
          <c:idx val="0"/>
          <c:order val="0"/>
          <c:tx>
            <c:strRef>
              <c:f>'Sheet 1'!$A$3</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val>
            <c:numRef>
              <c:f>'Sheet 1'!$B$3:$E$3</c:f>
              <c:numCache>
                <c:formatCode>#,###,,;\(#,###,,\);\ \-\ \-</c:formatCode>
                <c:ptCount val="4"/>
                <c:pt idx="0">
                  <c:v>879000000</c:v>
                </c:pt>
                <c:pt idx="1">
                  <c:v>967000000</c:v>
                </c:pt>
                <c:pt idx="2">
                  <c:v>1386000000</c:v>
                </c:pt>
                <c:pt idx="3">
                  <c:v>1869000000</c:v>
                </c:pt>
              </c:numCache>
            </c:numRef>
          </c:val>
          <c:extLst>
            <c:ext xmlns:c16="http://schemas.microsoft.com/office/drawing/2014/chart" uri="{C3380CC4-5D6E-409C-BE32-E72D297353CC}">
              <c16:uniqueId val="{00000000-0D82-CA49-A5A0-A197C4CF4966}"/>
            </c:ext>
          </c:extLst>
        </c:ser>
        <c:ser>
          <c:idx val="1"/>
          <c:order val="1"/>
          <c:tx>
            <c:strRef>
              <c:f>'Sheet 1'!$A$19</c:f>
              <c:strCache>
                <c:ptCount val="1"/>
                <c:pt idx="0">
                  <c:v>EBITDA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val>
            <c:numRef>
              <c:f>'Sheet 1'!$B$19:$E$19</c:f>
              <c:numCache>
                <c:formatCode>#,###,,;\(#,###,,\);\ \-\ \-</c:formatCode>
                <c:ptCount val="4"/>
                <c:pt idx="0">
                  <c:v>-222000000</c:v>
                </c:pt>
                <c:pt idx="1">
                  <c:v>257000000</c:v>
                </c:pt>
                <c:pt idx="2">
                  <c:v>472000000</c:v>
                </c:pt>
                <c:pt idx="3">
                  <c:v>559000000</c:v>
                </c:pt>
              </c:numCache>
            </c:numRef>
          </c:val>
          <c:extLst>
            <c:ext xmlns:c16="http://schemas.microsoft.com/office/drawing/2014/chart" uri="{C3380CC4-5D6E-409C-BE32-E72D297353CC}">
              <c16:uniqueId val="{00000001-0D82-CA49-A5A0-A197C4CF4966}"/>
            </c:ext>
          </c:extLst>
        </c:ser>
        <c:ser>
          <c:idx val="2"/>
          <c:order val="2"/>
          <c:tx>
            <c:strRef>
              <c:f>'Sheet 1'!$A$107</c:f>
              <c:strCache>
                <c:ptCount val="1"/>
                <c:pt idx="0">
                  <c:v>Levered FCF</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val>
            <c:numRef>
              <c:f>'Sheet 1'!$B$107:$E$107</c:f>
              <c:numCache>
                <c:formatCode>#,###,,;\(#,###,,\);\ \-\ \-</c:formatCode>
                <c:ptCount val="4"/>
                <c:pt idx="0">
                  <c:v>256000000</c:v>
                </c:pt>
                <c:pt idx="1">
                  <c:v>180000000</c:v>
                </c:pt>
                <c:pt idx="2">
                  <c:v>456000000</c:v>
                </c:pt>
                <c:pt idx="3">
                  <c:v>435000000</c:v>
                </c:pt>
              </c:numCache>
            </c:numRef>
          </c:val>
          <c:extLst>
            <c:ext xmlns:c16="http://schemas.microsoft.com/office/drawing/2014/chart" uri="{C3380CC4-5D6E-409C-BE32-E72D297353CC}">
              <c16:uniqueId val="{00000002-0D82-CA49-A5A0-A197C4CF4966}"/>
            </c:ext>
          </c:extLst>
        </c:ser>
        <c:dLbls>
          <c:showLegendKey val="0"/>
          <c:showVal val="0"/>
          <c:showCatName val="0"/>
          <c:showSerName val="0"/>
          <c:showPercent val="0"/>
          <c:showBubbleSize val="0"/>
        </c:dLbls>
        <c:gapWidth val="100"/>
        <c:overlap val="-24"/>
        <c:axId val="644487728"/>
        <c:axId val="644354912"/>
      </c:barChart>
      <c:catAx>
        <c:axId val="644487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4354912"/>
        <c:crosses val="autoZero"/>
        <c:auto val="1"/>
        <c:lblAlgn val="ctr"/>
        <c:lblOffset val="100"/>
        <c:noMultiLvlLbl val="0"/>
      </c:catAx>
      <c:valAx>
        <c:axId val="644354912"/>
        <c:scaling>
          <c:orientation val="minMax"/>
        </c:scaling>
        <c:delete val="0"/>
        <c:axPos val="l"/>
        <c:majorGridlines>
          <c:spPr>
            <a:ln w="9525" cap="flat" cmpd="sng" algn="ctr">
              <a:solidFill>
                <a:schemeClr val="tx2">
                  <a:lumMod val="15000"/>
                  <a:lumOff val="85000"/>
                </a:schemeClr>
              </a:solidFill>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644487728"/>
        <c:crosses val="autoZero"/>
        <c:crossBetween val="between"/>
      </c:valAx>
      <c:spPr>
        <a:noFill/>
        <a:ln>
          <a:noFill/>
        </a:ln>
        <a:effectLst/>
      </c:spPr>
    </c:plotArea>
    <c:legend>
      <c:legendPos val="b"/>
      <c:layout>
        <c:manualLayout>
          <c:xMode val="edge"/>
          <c:yMode val="edge"/>
          <c:x val="0.34797048876353143"/>
          <c:y val="0.91582725935852349"/>
          <c:w val="0.30405891800838331"/>
          <c:h val="4.481772222243263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31749</xdr:colOff>
      <xdr:row>108</xdr:row>
      <xdr:rowOff>17463</xdr:rowOff>
    </xdr:from>
    <xdr:to>
      <xdr:col>12</xdr:col>
      <xdr:colOff>1587499</xdr:colOff>
      <xdr:row>126</xdr:row>
      <xdr:rowOff>15875</xdr:rowOff>
    </xdr:to>
    <xdr:graphicFrame macro="">
      <xdr:nvGraphicFramePr>
        <xdr:cNvPr id="2" name="Chart 1">
          <a:extLst>
            <a:ext uri="{FF2B5EF4-FFF2-40B4-BE49-F238E27FC236}">
              <a16:creationId xmlns:a16="http://schemas.microsoft.com/office/drawing/2014/main" id="{A451CE9F-A8F3-1661-AFA2-73A41F801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bina/Documents/financial-modeling/Dashboard.xlsx" TargetMode="External"/><Relationship Id="rId1" Type="http://schemas.openxmlformats.org/officeDocument/2006/relationships/externalLinkPath" Target="/Users/bina/Documents/financial-modeling/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reasuries"/>
      <sheetName val="Hardware"/>
      <sheetName val="Software"/>
      <sheetName val="Consumer"/>
      <sheetName val="Financial Services"/>
      <sheetName val="Healthcare"/>
      <sheetName val="Industrials"/>
      <sheetName val="Real Estate"/>
      <sheetName val="Fashion + Beauty"/>
      <sheetName val="My Stocks"/>
      <sheetName val="Compounders"/>
      <sheetName val="GARP"/>
      <sheetName val="Value"/>
      <sheetName val="Aggressive Growth"/>
      <sheetName val="Other"/>
      <sheetName val="Short List"/>
    </sheetNames>
    <sheetDataSet>
      <sheetData sheetId="0">
        <row r="8">
          <cell r="C8">
            <v>4.0480000000000002E-2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2">
  <rv s="0">
    <v>0</v>
    <v>MOBILEYE GLOBAL INC. (XNAS:MBLY)</v>
    <v>2</v>
    <v>3</v>
    <v>Finance</v>
    <v>4</v>
    <v>en-US</v>
    <v>c7qfgh</v>
    <v>268435456</v>
    <v>1</v>
    <v>Powered by Refinitiv</v>
    <v>48.11</v>
    <v>24.85</v>
    <v>-0.17</v>
    <v>-4.1860000000000005E-3</v>
    <v>USD</v>
    <v>Mobileye Global Inc is an Israel-based company that is primarily actives in field of development and deployment of advanced driver-assistance systems (ADAS) and self-driving system (AV). Company's portfolio Mobileye’s of solutions is built upon a purpose-built software and hardware technologies designed to provide the capabilities to make advanced driver-assistance systems and autonomous driving a reality. These technologies are dedicated to deliver capabilities of advancing the safety of road users, and improving the driving experience and the movement of people and goods globally. The Company's offerings include Driver Assist, Cloud-Enhanced Driver Assist, Mobileye SuperVision Lite, Mobileye Chauffeur, and Mobileye Drive. Mobileye Global Inc operates globally.</v>
    <v>3500</v>
    <v>Nasdaq Stock Market</v>
    <v>XNAS</v>
    <v>XNAS</v>
    <v>Har Hotzvim, 13 Hartom Street, P.O. Box 45157, JERUSALEM, 97775 IL</v>
    <v>41.01</v>
    <v>Integrated Hardware &amp; Software</v>
    <v>Stock</v>
    <v>45117.988982835159</v>
    <v>39.46</v>
    <v>32580975324</v>
    <v>MOBILEYE GLOBAL INC.</v>
    <v>MOBILEYE GLOBAL INC.</v>
    <v>40.61</v>
    <v>40.61</v>
    <v>40.44</v>
    <v>805662100</v>
    <v>MBLY</v>
    <v>MOBILEYE GLOBAL INC. (XNAS:MBLY)</v>
    <v>333</v>
    <v>4304845</v>
    <v>2022</v>
  </rv>
  <rv s="1">
    <v>0</v>
  </rv>
</rvData>
</file>

<file path=xl/richData/rdrichvaluestructure.xml><?xml version="1.0" encoding="utf-8"?>
<rvStructures xmlns="http://schemas.microsoft.com/office/spreadsheetml/2017/richdata" count="2">
  <s t="_linkedentitycore">
    <k n="_Display" t="spb"/>
    <k n="_DisplayString" t="s"/>
    <k n="_Flags" t="spb"/>
    <k n="_Format" t="spb"/>
    <k n="_Icon" t="s"/>
    <k n="_SubLabel" t="spb"/>
    <k n="%EntityCulture" t="s"/>
    <k n="%EntityId" t="s"/>
    <k n="%EntityServiceId"/>
    <k n="%IsRefreshable" t="b"/>
    <k n="%ProviderInfo" t="s"/>
    <k n="52 week high"/>
    <k n="52 week low"/>
    <k n="Change"/>
    <k n="Change (%)"/>
    <k n="Currency" t="s"/>
    <k n="Description" t="s"/>
    <k n="Employees"/>
    <k n="Exchange" t="s"/>
    <k n="Exchange abbreviation" t="s"/>
    <k n="ExchangeID" t="s"/>
    <k n="Headquarters" t="s"/>
    <k n="High"/>
    <k n="Industry" t="s"/>
    <k n="Instrument type" t="s"/>
    <k n="Last trade time"/>
    <k n="Low"/>
    <k n="Market cap"/>
    <k n="Name" t="s"/>
    <k n="Official name" t="s"/>
    <k n="Open"/>
    <k n="Previous close"/>
    <k n="Price"/>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39">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Shares outstanding</v>
      <v t="s">Description</v>
      <v t="s">Employees</v>
      <v t="s">Headquarters</v>
      <v t="s">Industry</v>
      <v t="s">Instrument type</v>
      <v t="s">Year incorporated</v>
      <v t="s">_Flags</v>
      <v t="s">UniqueName</v>
      <v t="s">_DisplayString</v>
      <v t="s">ExchangeID</v>
      <v t="s">%ProviderInfo</v>
    </a>
  </spbArrays>
  <spbData count="5">
    <spb s="0">
      <v>0</v>
      <v>Name</v>
    </spb>
    <spb s="1">
      <v>0</v>
      <v>0</v>
      <v>0</v>
    </spb>
    <spb s="2">
      <v>1</v>
      <v>1</v>
      <v>1</v>
    </spb>
    <spb s="3">
      <v>1</v>
      <v>1</v>
      <v>2</v>
      <v>1</v>
      <v>1</v>
      <v>1</v>
      <v>3</v>
      <v>3</v>
      <v>4</v>
      <v>5</v>
      <v>1</v>
      <v>1</v>
      <v>1</v>
      <v>3</v>
      <v>6</v>
      <v>7</v>
      <v>8</v>
      <v>3</v>
    </spb>
    <spb s="4">
      <v>Delayed 15 minutes</v>
      <v>from previous close</v>
      <v>from previous close</v>
      <v>Source: Nasdaq</v>
      <v>GMT</v>
    </spb>
  </spbData>
</supportingPropertyBags>
</file>

<file path=xl/richData/rdsupportingpropertybagstructure.xml><?xml version="1.0" encoding="utf-8"?>
<spbStructures xmlns="http://schemas.microsoft.com/office/spreadsheetml/2017/richdata2" count="5">
  <s>
    <k n="^Order" t="spba"/>
    <k n="TitleProperty" t="s"/>
  </s>
  <s>
    <k n="ShowInCardView" t="b"/>
    <k n="ShowInDotNotation" t="b"/>
    <k n="ShowInAutoComplete" t="b"/>
  </s>
  <s>
    <k n="ExchangeID" t="spb"/>
    <k n="UniqueName" t="spb"/>
    <k n="`%ProviderInfo" t="spb"/>
  </s>
  <s>
    <k n="Low"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Price" t="s"/>
    <k n="Change" t="s"/>
    <k n="Change (%)" t="s"/>
    <k n="ExchangeID" t="s"/>
    <k n="Last trade tim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2" formatCode="0.00"/>
    </x:dxf>
    <x:dxf>
      <x:numFmt numFmtId="0" formatCode="General"/>
    </x:dxf>
    <x:dxf>
      <x:numFmt numFmtId="27" formatCode="m/d/yy\ h:mm"/>
    </x:dxf>
    <x:dxf>
      <x:numFmt numFmtId="14" formatCode="0.00%"/>
    </x:dxf>
    <x:dxf>
      <x:numFmt numFmtId="3" formatCode="#,##0"/>
    </x:dxf>
    <x:dxf>
      <x:numFmt numFmtId="1" formatCode="0"/>
    </x:dxf>
  </dxfs>
  <richProperties>
    <rPr n="NumberFormat" t="s"/>
    <rPr n="IsTitleField" t="b"/>
  </richProperties>
  <richStyles>
    <rSty dxfid="1">
      <rpv i="0">_([$$-en-US]* #,##0.00_);_([$$-en-US]* (#,##0.00);_([$$-en-US]* "-"??_);_(@_)</rpv>
    </rSty>
    <rSty>
      <rpv i="1">1</rpv>
    </rSty>
    <rSty dxfid="4">
      <rpv i="0">#,##0</rpv>
    </rSty>
    <rSty dxfid="3"/>
    <rSty dxfid="1">
      <rpv i="0">_([$$-en-US]* #,##0_);_([$$-en-US]* (#,##0);_([$$-en-US]* "-"_);_(@_)</rpv>
    </rSty>
    <rSty dxfid="2"/>
    <rSty dxfid="5">
      <rpv i="0">0</rpv>
    </rSty>
    <rSty dxfid="0">
      <rpv i="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ec.gov/Archives/edgar/data/1910139/000110465923030588/0001104659-23-030588-index.htm" TargetMode="External"/><Relationship Id="rId3" Type="http://schemas.openxmlformats.org/officeDocument/2006/relationships/hyperlink" Target="https://sec.gov/" TargetMode="External"/><Relationship Id="rId7" Type="http://schemas.openxmlformats.org/officeDocument/2006/relationships/hyperlink" Target="https://sec.gov/" TargetMode="External"/><Relationship Id="rId12" Type="http://schemas.openxmlformats.org/officeDocument/2006/relationships/drawing" Target="../drawings/drawing1.xml"/><Relationship Id="rId2" Type="http://schemas.openxmlformats.org/officeDocument/2006/relationships/hyperlink" Target="https://sec.gov/" TargetMode="External"/><Relationship Id="rId1" Type="http://schemas.openxmlformats.org/officeDocument/2006/relationships/hyperlink" Target="https://roic.ai/company/MBLY" TargetMode="External"/><Relationship Id="rId6" Type="http://schemas.openxmlformats.org/officeDocument/2006/relationships/hyperlink" Target="https://sec.gov/" TargetMode="External"/><Relationship Id="rId11" Type="http://schemas.openxmlformats.org/officeDocument/2006/relationships/hyperlink" Target="https://finbox.com/NASDAQGS:MBLY/explorer/fcf_unlev_proj" TargetMode="External"/><Relationship Id="rId5" Type="http://schemas.openxmlformats.org/officeDocument/2006/relationships/hyperlink" Target="https://sec.gov/" TargetMode="External"/><Relationship Id="rId10" Type="http://schemas.openxmlformats.org/officeDocument/2006/relationships/hyperlink" Target="https://finbox.com/NASDAQGS:MBLY/explorer/revenue_proj" TargetMode="External"/><Relationship Id="rId4" Type="http://schemas.openxmlformats.org/officeDocument/2006/relationships/hyperlink" Target="https://sec.gov/" TargetMode="External"/><Relationship Id="rId9" Type="http://schemas.openxmlformats.org/officeDocument/2006/relationships/hyperlink" Target="https://www.sec.gov/Archives/edgar/data/1910139/000110465923030588/0001104659-23-030588-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18"/>
  <sheetViews>
    <sheetView tabSelected="1" zoomScale="80" zoomScaleNormal="80" workbookViewId="0">
      <pane xSplit="1" ySplit="1" topLeftCell="B89" activePane="bottomRight" state="frozen"/>
      <selection pane="topRight"/>
      <selection pane="bottomLeft"/>
      <selection pane="bottomRight" activeCell="G96" sqref="G96"/>
    </sheetView>
  </sheetViews>
  <sheetFormatPr baseColWidth="10" defaultRowHeight="16" x14ac:dyDescent="0.2"/>
  <cols>
    <col min="1" max="1" width="50" customWidth="1"/>
    <col min="2" max="5" width="15" customWidth="1"/>
    <col min="6" max="14" width="21" customWidth="1"/>
  </cols>
  <sheetData>
    <row r="1" spans="1:38" ht="22" thickBot="1" x14ac:dyDescent="0.3">
      <c r="A1" s="3" t="e" vm="1">
        <v>#VALUE!</v>
      </c>
      <c r="B1" s="8">
        <v>2019</v>
      </c>
      <c r="C1" s="8">
        <v>2020</v>
      </c>
      <c r="D1" s="8">
        <v>2021</v>
      </c>
      <c r="E1" s="8">
        <v>2022</v>
      </c>
      <c r="F1" s="24">
        <v>2023</v>
      </c>
      <c r="G1" s="24">
        <v>2024</v>
      </c>
      <c r="H1" s="24">
        <v>2025</v>
      </c>
      <c r="I1" s="24">
        <v>2026</v>
      </c>
      <c r="J1" s="24">
        <v>2027</v>
      </c>
    </row>
    <row r="2" spans="1:38" ht="21" x14ac:dyDescent="0.25">
      <c r="A2" s="4" t="s">
        <v>0</v>
      </c>
      <c r="B2" s="9" t="s">
        <v>90</v>
      </c>
      <c r="C2" s="9" t="s">
        <v>90</v>
      </c>
      <c r="D2" s="9" t="s">
        <v>90</v>
      </c>
      <c r="E2" s="9" t="s">
        <v>90</v>
      </c>
      <c r="F2" s="9" t="s">
        <v>90</v>
      </c>
      <c r="G2" s="9" t="s">
        <v>90</v>
      </c>
      <c r="H2" s="9" t="s">
        <v>90</v>
      </c>
      <c r="I2" s="9"/>
      <c r="J2" s="9"/>
      <c r="K2" s="9"/>
      <c r="L2" s="9"/>
      <c r="M2" s="9"/>
      <c r="N2" s="9"/>
    </row>
    <row r="3" spans="1:38" ht="40" x14ac:dyDescent="0.25">
      <c r="A3" s="5" t="s">
        <v>1</v>
      </c>
      <c r="B3" s="1">
        <v>879000000</v>
      </c>
      <c r="C3" s="1">
        <v>967000000</v>
      </c>
      <c r="D3" s="1">
        <v>1386000000</v>
      </c>
      <c r="E3" s="1">
        <v>1869000000</v>
      </c>
      <c r="F3" s="25">
        <v>2100000000</v>
      </c>
      <c r="G3" s="25">
        <v>2758000000</v>
      </c>
      <c r="H3" s="25">
        <v>3884000000</v>
      </c>
      <c r="I3" s="25">
        <v>5613000000</v>
      </c>
      <c r="J3" s="25">
        <v>7164000000</v>
      </c>
      <c r="K3" s="19" t="s">
        <v>107</v>
      </c>
      <c r="L3" s="20" t="s">
        <v>108</v>
      </c>
      <c r="M3" s="20" t="s">
        <v>109</v>
      </c>
      <c r="N3" s="20" t="s">
        <v>110</v>
      </c>
    </row>
    <row r="4" spans="1:38" ht="19" x14ac:dyDescent="0.25">
      <c r="A4" s="14" t="s">
        <v>93</v>
      </c>
      <c r="B4" s="1"/>
      <c r="C4" s="15">
        <f>(C3/B3)-1</f>
        <v>0.10011376564277596</v>
      </c>
      <c r="D4" s="15">
        <f>(D3/C3)-1</f>
        <v>0.43329886246122018</v>
      </c>
      <c r="E4" s="15">
        <f>(E3/D3)-1</f>
        <v>0.3484848484848484</v>
      </c>
      <c r="F4" s="16">
        <f t="shared" ref="F4:J4" si="0">(F3/E3)-1</f>
        <v>0.12359550561797761</v>
      </c>
      <c r="G4" s="16">
        <f t="shared" si="0"/>
        <v>0.31333333333333324</v>
      </c>
      <c r="H4" s="16">
        <f t="shared" si="0"/>
        <v>0.40826686004350976</v>
      </c>
      <c r="I4" s="16">
        <f t="shared" si="0"/>
        <v>0.44515962924819763</v>
      </c>
      <c r="J4" s="16">
        <f t="shared" si="0"/>
        <v>0.27632282202031</v>
      </c>
      <c r="K4" s="17">
        <f>(E4+D4+C4)/3</f>
        <v>0.29396582552961487</v>
      </c>
      <c r="L4" s="17">
        <f>(E20+D20+C20)/3</f>
        <v>-0.37891991609099041</v>
      </c>
      <c r="M4" s="17">
        <f>(E29+D29+C29)/3</f>
        <v>-0.30881754327747363</v>
      </c>
      <c r="N4" s="17">
        <f>(E106+D106+C106)/3</f>
        <v>0.39680190058479531</v>
      </c>
      <c r="U4" s="16"/>
      <c r="V4" s="16"/>
      <c r="W4" s="16"/>
      <c r="X4" s="16"/>
      <c r="Y4" s="16"/>
      <c r="Z4" s="16"/>
      <c r="AA4" s="16"/>
      <c r="AB4" s="16"/>
      <c r="AC4" s="16"/>
      <c r="AD4" s="16"/>
      <c r="AE4" s="16"/>
      <c r="AF4" s="16"/>
      <c r="AI4" s="18"/>
      <c r="AJ4" s="18"/>
      <c r="AK4" s="18"/>
      <c r="AL4" s="18"/>
    </row>
    <row r="5" spans="1:38" ht="19" x14ac:dyDescent="0.25">
      <c r="A5" s="5" t="s">
        <v>2</v>
      </c>
      <c r="B5" s="1">
        <v>456000000</v>
      </c>
      <c r="C5" s="1">
        <v>591000000</v>
      </c>
      <c r="D5" s="1">
        <v>731000000</v>
      </c>
      <c r="E5" s="1">
        <v>947000000</v>
      </c>
    </row>
    <row r="6" spans="1:38" ht="20" x14ac:dyDescent="0.25">
      <c r="A6" s="6" t="s">
        <v>3</v>
      </c>
      <c r="B6" s="10">
        <v>423000000</v>
      </c>
      <c r="C6" s="10">
        <v>376000000</v>
      </c>
      <c r="D6" s="10">
        <v>655000000</v>
      </c>
      <c r="E6" s="10">
        <v>922000000</v>
      </c>
      <c r="K6" s="19" t="s">
        <v>111</v>
      </c>
      <c r="L6" s="20" t="s">
        <v>112</v>
      </c>
      <c r="M6" s="20" t="s">
        <v>113</v>
      </c>
      <c r="N6" s="20" t="s">
        <v>114</v>
      </c>
    </row>
    <row r="7" spans="1:38" ht="19" x14ac:dyDescent="0.25">
      <c r="A7" s="5" t="s">
        <v>4</v>
      </c>
      <c r="B7" s="2">
        <v>0.48120000000000002</v>
      </c>
      <c r="C7" s="2">
        <v>0.38879999999999998</v>
      </c>
      <c r="D7" s="2">
        <v>0.47260000000000002</v>
      </c>
      <c r="E7" s="2">
        <v>0.49330000000000002</v>
      </c>
      <c r="K7" s="17">
        <f>E7</f>
        <v>0.49330000000000002</v>
      </c>
      <c r="L7" s="21">
        <f>E21</f>
        <v>0.29909999999999998</v>
      </c>
      <c r="M7" s="21">
        <f>E30</f>
        <v>-4.3900000000000002E-2</v>
      </c>
      <c r="N7" s="21">
        <f>E107/E3</f>
        <v>0.23274478330658105</v>
      </c>
    </row>
    <row r="8" spans="1:38" ht="19" x14ac:dyDescent="0.25">
      <c r="A8" s="5" t="s">
        <v>5</v>
      </c>
      <c r="B8" s="1">
        <v>384000000</v>
      </c>
      <c r="C8" s="1">
        <v>440000000</v>
      </c>
      <c r="D8" s="1">
        <v>544000000</v>
      </c>
      <c r="E8" s="1">
        <v>789000000</v>
      </c>
    </row>
    <row r="9" spans="1:38" ht="19" customHeight="1" x14ac:dyDescent="0.25">
      <c r="A9" s="14" t="s">
        <v>94</v>
      </c>
      <c r="B9" s="15">
        <f>B8/B3</f>
        <v>0.43686006825938567</v>
      </c>
      <c r="C9" s="15">
        <f t="shared" ref="C9:E9" si="1">C8/C3</f>
        <v>0.45501551189245087</v>
      </c>
      <c r="D9" s="15">
        <f t="shared" si="1"/>
        <v>0.39249639249639251</v>
      </c>
      <c r="E9" s="15">
        <f t="shared" si="1"/>
        <v>0.42215088282504015</v>
      </c>
      <c r="F9" s="15"/>
      <c r="G9" s="15"/>
      <c r="K9" s="19" t="s">
        <v>95</v>
      </c>
      <c r="L9" s="20" t="s">
        <v>96</v>
      </c>
      <c r="M9" s="20" t="s">
        <v>97</v>
      </c>
      <c r="N9" s="20" t="s">
        <v>98</v>
      </c>
    </row>
    <row r="10" spans="1:38" ht="19" x14ac:dyDescent="0.25">
      <c r="A10" s="5" t="s">
        <v>6</v>
      </c>
      <c r="B10" s="1">
        <v>25000000</v>
      </c>
      <c r="C10" s="1">
        <v>33000000</v>
      </c>
      <c r="D10" s="1">
        <v>34000000</v>
      </c>
      <c r="E10" s="1">
        <v>50000000</v>
      </c>
      <c r="K10" s="17">
        <f>E9</f>
        <v>0.42215088282504015</v>
      </c>
      <c r="L10" s="21">
        <f>E13</f>
        <v>9.0957731407169604E-2</v>
      </c>
      <c r="M10" s="21">
        <f>E80</f>
        <v>9.3097913322632425E-2</v>
      </c>
      <c r="N10" s="21">
        <f>E89</f>
        <v>5.93900481540931E-2</v>
      </c>
    </row>
    <row r="11" spans="1:38" ht="19" x14ac:dyDescent="0.25">
      <c r="A11" s="5" t="s">
        <v>7</v>
      </c>
      <c r="B11" s="1">
        <v>100000000</v>
      </c>
      <c r="C11" s="1">
        <v>116000000</v>
      </c>
      <c r="D11" s="1">
        <v>134000000</v>
      </c>
      <c r="E11" s="1">
        <v>120000000</v>
      </c>
    </row>
    <row r="12" spans="1:38" ht="20" x14ac:dyDescent="0.25">
      <c r="A12" s="5" t="s">
        <v>8</v>
      </c>
      <c r="B12" s="1">
        <v>125000000</v>
      </c>
      <c r="C12" s="1">
        <v>149000000</v>
      </c>
      <c r="D12" s="1">
        <v>168000000</v>
      </c>
      <c r="E12" s="1">
        <v>170000000</v>
      </c>
      <c r="K12" s="19" t="s">
        <v>115</v>
      </c>
      <c r="L12" s="20" t="s">
        <v>116</v>
      </c>
      <c r="M12" s="20" t="s">
        <v>117</v>
      </c>
      <c r="N12" s="20" t="s">
        <v>118</v>
      </c>
    </row>
    <row r="13" spans="1:38" ht="19" x14ac:dyDescent="0.25">
      <c r="A13" s="14" t="s">
        <v>99</v>
      </c>
      <c r="B13" s="15">
        <f>B12/B3</f>
        <v>0.1422070534698521</v>
      </c>
      <c r="C13" s="15">
        <f t="shared" ref="C13:E13" si="2">C12/C3</f>
        <v>0.15408479834539815</v>
      </c>
      <c r="D13" s="15">
        <f t="shared" si="2"/>
        <v>0.12121212121212122</v>
      </c>
      <c r="E13" s="15">
        <f t="shared" si="2"/>
        <v>9.0957731407169604E-2</v>
      </c>
      <c r="F13" s="15"/>
      <c r="G13" s="15"/>
      <c r="K13" s="17">
        <f>E28/E72</f>
        <v>-5.5427876166013251E-3</v>
      </c>
      <c r="L13" s="21">
        <f>E28/E54</f>
        <v>-5.3105368823262739E-3</v>
      </c>
      <c r="M13" s="21">
        <f>E22/(E72+E56+E61)</f>
        <v>-2.5010139245640124E-3</v>
      </c>
      <c r="N13" s="22">
        <f>E67/E72</f>
        <v>4.3733946194403135E-2</v>
      </c>
    </row>
    <row r="14" spans="1:38" ht="19" x14ac:dyDescent="0.25">
      <c r="A14" s="5" t="s">
        <v>9</v>
      </c>
      <c r="B14" s="1" t="s">
        <v>91</v>
      </c>
      <c r="C14" s="1" t="s">
        <v>91</v>
      </c>
      <c r="D14" s="1" t="s">
        <v>91</v>
      </c>
      <c r="E14" s="1" t="s">
        <v>91</v>
      </c>
    </row>
    <row r="15" spans="1:38" ht="20" x14ac:dyDescent="0.25">
      <c r="A15" s="5" t="s">
        <v>10</v>
      </c>
      <c r="B15" s="1">
        <v>509000000</v>
      </c>
      <c r="C15" s="1">
        <v>589000000</v>
      </c>
      <c r="D15" s="1">
        <v>712000000</v>
      </c>
      <c r="E15" s="1">
        <v>959000000</v>
      </c>
      <c r="K15" s="19" t="s">
        <v>155</v>
      </c>
      <c r="L15" s="20" t="s">
        <v>119</v>
      </c>
      <c r="M15" s="20" t="s">
        <v>120</v>
      </c>
      <c r="N15" s="20" t="s">
        <v>121</v>
      </c>
    </row>
    <row r="16" spans="1:38" ht="19" x14ac:dyDescent="0.25">
      <c r="A16" s="5" t="s">
        <v>11</v>
      </c>
      <c r="B16" s="1">
        <v>965000000</v>
      </c>
      <c r="C16" s="1">
        <v>1180000000</v>
      </c>
      <c r="D16" s="1">
        <v>1443000000</v>
      </c>
      <c r="E16" s="1">
        <v>1906000000</v>
      </c>
      <c r="K16" s="26">
        <f>(E35+D35+C35)/3</f>
        <v>0</v>
      </c>
      <c r="L16" s="36">
        <f>M101/E3</f>
        <v>17.432303544141252</v>
      </c>
      <c r="M16" s="36">
        <f>M101/E28</f>
        <v>-397.32896736585366</v>
      </c>
      <c r="N16" s="37">
        <f>M101/E107</f>
        <v>74.898793848275858</v>
      </c>
    </row>
    <row r="17" spans="1:14" ht="19" x14ac:dyDescent="0.25">
      <c r="A17" s="5" t="s">
        <v>12</v>
      </c>
      <c r="B17" s="1">
        <v>-235000000</v>
      </c>
      <c r="C17" s="1">
        <v>6000000</v>
      </c>
      <c r="D17" s="1">
        <v>3000000</v>
      </c>
      <c r="E17" s="1">
        <v>24000000</v>
      </c>
    </row>
    <row r="18" spans="1:14" ht="20" x14ac:dyDescent="0.25">
      <c r="A18" s="5" t="s">
        <v>13</v>
      </c>
      <c r="B18" s="1">
        <v>338000000</v>
      </c>
      <c r="C18" s="1">
        <v>463000000</v>
      </c>
      <c r="D18" s="1">
        <v>526000000</v>
      </c>
      <c r="E18" s="1">
        <v>567000000</v>
      </c>
      <c r="K18" s="19" t="s">
        <v>122</v>
      </c>
      <c r="L18" s="20" t="s">
        <v>156</v>
      </c>
      <c r="M18" s="20" t="s">
        <v>158</v>
      </c>
      <c r="N18" s="20" t="s">
        <v>157</v>
      </c>
    </row>
    <row r="19" spans="1:14" ht="19" x14ac:dyDescent="0.25">
      <c r="A19" s="6" t="s">
        <v>14</v>
      </c>
      <c r="B19" s="10">
        <v>-222000000</v>
      </c>
      <c r="C19" s="10">
        <v>257000000</v>
      </c>
      <c r="D19" s="10">
        <v>472000000</v>
      </c>
      <c r="E19" s="10">
        <v>559000000</v>
      </c>
      <c r="F19" s="31">
        <v>603400000</v>
      </c>
      <c r="G19" s="31">
        <v>876000000</v>
      </c>
      <c r="H19" s="31">
        <v>1376000000</v>
      </c>
      <c r="I19" s="31">
        <v>2186000000</v>
      </c>
      <c r="J19" s="31">
        <v>2223000000</v>
      </c>
      <c r="K19" s="27">
        <f>E40-E56-E61</f>
        <v>1024000000</v>
      </c>
      <c r="L19" s="36">
        <f>M101/F3</f>
        <v>15.514750154285714</v>
      </c>
      <c r="M19" s="36">
        <f>M101/F28</f>
        <v>63.387111525291829</v>
      </c>
      <c r="N19" s="37">
        <f>M101/F105</f>
        <v>86.018744272881506</v>
      </c>
    </row>
    <row r="20" spans="1:14" ht="19" customHeight="1" x14ac:dyDescent="0.25">
      <c r="A20" s="14" t="s">
        <v>100</v>
      </c>
      <c r="B20" s="1"/>
      <c r="C20" s="15">
        <f>(C19/B19)-1</f>
        <v>-2.1576576576576576</v>
      </c>
      <c r="D20" s="15">
        <f>(D19/C19)-1</f>
        <v>0.83657587548638124</v>
      </c>
      <c r="E20" s="15">
        <f>(E19/D19)-1</f>
        <v>0.18432203389830515</v>
      </c>
      <c r="F20" s="16">
        <f t="shared" ref="F20:J20" si="3">(F19/E19)-1</f>
        <v>7.9427549194990954E-2</v>
      </c>
      <c r="G20" s="16">
        <f t="shared" si="3"/>
        <v>0.45177328471992051</v>
      </c>
      <c r="H20" s="16">
        <f t="shared" si="3"/>
        <v>0.57077625570776247</v>
      </c>
      <c r="I20" s="16">
        <f t="shared" si="3"/>
        <v>0.58866279069767447</v>
      </c>
      <c r="J20" s="16">
        <f t="shared" si="3"/>
        <v>1.6925892040256185E-2</v>
      </c>
    </row>
    <row r="21" spans="1:14" ht="20" x14ac:dyDescent="0.25">
      <c r="A21" s="5" t="s">
        <v>15</v>
      </c>
      <c r="B21" s="2">
        <v>-0.25259999999999999</v>
      </c>
      <c r="C21" s="2">
        <v>0.26579999999999998</v>
      </c>
      <c r="D21" s="2">
        <v>0.34050000000000002</v>
      </c>
      <c r="E21" s="2">
        <v>0.29909999999999998</v>
      </c>
      <c r="F21" s="32">
        <f>F19/F3</f>
        <v>0.28733333333333333</v>
      </c>
      <c r="G21" s="32">
        <f t="shared" ref="G21:J21" si="4">G19/G3</f>
        <v>0.31762146482958664</v>
      </c>
      <c r="H21" s="32">
        <f t="shared" si="4"/>
        <v>0.35427394438722964</v>
      </c>
      <c r="I21" s="32">
        <f t="shared" si="4"/>
        <v>0.38945305540709069</v>
      </c>
      <c r="J21" s="32">
        <f t="shared" si="4"/>
        <v>0.31030150753768843</v>
      </c>
      <c r="M21" s="19" t="s">
        <v>164</v>
      </c>
      <c r="N21" s="20" t="s">
        <v>165</v>
      </c>
    </row>
    <row r="22" spans="1:14" ht="19" x14ac:dyDescent="0.25">
      <c r="A22" s="6" t="s">
        <v>16</v>
      </c>
      <c r="B22" s="10">
        <v>-86000000</v>
      </c>
      <c r="C22" s="10">
        <v>-213000000</v>
      </c>
      <c r="D22" s="10">
        <v>-57000000</v>
      </c>
      <c r="E22" s="10">
        <v>-37000000</v>
      </c>
      <c r="M22" s="41">
        <f>(-1*E98)/M101</f>
        <v>1.0343459538848028E-2</v>
      </c>
      <c r="N22" s="42">
        <f>E107/M101</f>
        <v>1.3351349849848345E-2</v>
      </c>
    </row>
    <row r="23" spans="1:14" ht="19" x14ac:dyDescent="0.25">
      <c r="A23" s="5" t="s">
        <v>17</v>
      </c>
      <c r="B23" s="2">
        <v>-9.7799999999999998E-2</v>
      </c>
      <c r="C23" s="2">
        <v>-0.2203</v>
      </c>
      <c r="D23" s="2">
        <v>-4.1099999999999998E-2</v>
      </c>
      <c r="E23" s="2">
        <v>-1.9800000000000002E-2</v>
      </c>
    </row>
    <row r="24" spans="1:14" ht="19" x14ac:dyDescent="0.25">
      <c r="A24" s="5" t="s">
        <v>18</v>
      </c>
      <c r="B24" s="1">
        <v>-239000000</v>
      </c>
      <c r="C24" s="1">
        <v>1000000</v>
      </c>
      <c r="D24" s="1" t="s">
        <v>91</v>
      </c>
      <c r="E24" s="1">
        <v>5000000</v>
      </c>
    </row>
    <row r="25" spans="1:14" ht="19" x14ac:dyDescent="0.25">
      <c r="A25" s="6" t="s">
        <v>19</v>
      </c>
      <c r="B25" s="10">
        <v>-325000000</v>
      </c>
      <c r="C25" s="10">
        <v>-212000000</v>
      </c>
      <c r="D25" s="10">
        <v>-57000000</v>
      </c>
      <c r="E25" s="10">
        <v>-32000000</v>
      </c>
    </row>
    <row r="26" spans="1:14" ht="19" x14ac:dyDescent="0.25">
      <c r="A26" s="5" t="s">
        <v>20</v>
      </c>
      <c r="B26" s="2">
        <v>-0.36969999999999997</v>
      </c>
      <c r="C26" s="2">
        <v>-0.21920000000000001</v>
      </c>
      <c r="D26" s="2">
        <v>-4.1099999999999998E-2</v>
      </c>
      <c r="E26" s="2">
        <v>-1.7100000000000001E-2</v>
      </c>
    </row>
    <row r="27" spans="1:14" ht="19" x14ac:dyDescent="0.25">
      <c r="A27" s="5" t="s">
        <v>21</v>
      </c>
      <c r="B27" s="1">
        <v>3000000</v>
      </c>
      <c r="C27" s="1">
        <v>-16000000</v>
      </c>
      <c r="D27" s="1">
        <v>18000000</v>
      </c>
      <c r="E27" s="1">
        <v>50000000</v>
      </c>
    </row>
    <row r="28" spans="1:14" ht="20" thickBot="1" x14ac:dyDescent="0.3">
      <c r="A28" s="7" t="s">
        <v>22</v>
      </c>
      <c r="B28" s="11">
        <v>-328000000</v>
      </c>
      <c r="C28" s="11">
        <v>-196000000</v>
      </c>
      <c r="D28" s="11">
        <v>-75000000</v>
      </c>
      <c r="E28" s="11">
        <v>-82000000</v>
      </c>
      <c r="F28" s="33">
        <v>514000000</v>
      </c>
      <c r="G28" s="33">
        <v>675000000</v>
      </c>
      <c r="H28" s="33">
        <v>1088000000</v>
      </c>
      <c r="I28" s="33">
        <v>1640000000</v>
      </c>
      <c r="J28" s="33">
        <v>1884000000</v>
      </c>
    </row>
    <row r="29" spans="1:14" ht="20" customHeight="1" thickTop="1" x14ac:dyDescent="0.25">
      <c r="A29" s="14" t="s">
        <v>101</v>
      </c>
      <c r="B29" s="1"/>
      <c r="C29" s="15">
        <f>(C28/B28)-1</f>
        <v>-0.40243902439024393</v>
      </c>
      <c r="D29" s="15">
        <f>(D28/C28)-1</f>
        <v>-0.61734693877551017</v>
      </c>
      <c r="E29" s="15">
        <f>(E28/D28)-1</f>
        <v>9.3333333333333268E-2</v>
      </c>
      <c r="F29" s="16">
        <f t="shared" ref="F29:J29" si="5">(F28/E28)-1</f>
        <v>-7.2682926829268295</v>
      </c>
      <c r="G29" s="16">
        <f t="shared" si="5"/>
        <v>0.3132295719844358</v>
      </c>
      <c r="H29" s="16">
        <f t="shared" si="5"/>
        <v>0.61185185185185187</v>
      </c>
      <c r="I29" s="16">
        <f t="shared" si="5"/>
        <v>0.50735294117647056</v>
      </c>
      <c r="J29" s="16">
        <f t="shared" si="5"/>
        <v>0.14878048780487796</v>
      </c>
    </row>
    <row r="30" spans="1:14" ht="19" x14ac:dyDescent="0.25">
      <c r="A30" s="5" t="s">
        <v>23</v>
      </c>
      <c r="B30" s="2">
        <v>-0.37319999999999998</v>
      </c>
      <c r="C30" s="2">
        <v>-0.20269999999999999</v>
      </c>
      <c r="D30" s="2">
        <v>-5.4100000000000002E-2</v>
      </c>
      <c r="E30" s="2">
        <v>-4.3900000000000002E-2</v>
      </c>
      <c r="F30" s="34">
        <f>F28/F3</f>
        <v>0.24476190476190476</v>
      </c>
      <c r="G30" s="34">
        <f t="shared" ref="G30:J30" si="6">G28/G3</f>
        <v>0.24474256707759245</v>
      </c>
      <c r="H30" s="34">
        <f t="shared" si="6"/>
        <v>0.28012358393408859</v>
      </c>
      <c r="I30" s="34">
        <f t="shared" si="6"/>
        <v>0.29217887047924462</v>
      </c>
      <c r="J30" s="34">
        <f t="shared" si="6"/>
        <v>0.26298157453936349</v>
      </c>
    </row>
    <row r="31" spans="1:14" ht="19" x14ac:dyDescent="0.25">
      <c r="A31" s="5" t="s">
        <v>24</v>
      </c>
      <c r="B31" s="12">
        <v>-0.41</v>
      </c>
      <c r="C31" s="12">
        <v>-0.25</v>
      </c>
      <c r="D31" s="12">
        <v>-0.09</v>
      </c>
      <c r="E31" s="12">
        <v>-0.1</v>
      </c>
      <c r="F31" s="35">
        <v>0.64</v>
      </c>
      <c r="G31" s="35">
        <v>0.84</v>
      </c>
      <c r="H31" s="35">
        <v>1.35</v>
      </c>
      <c r="I31" s="35">
        <v>2.04</v>
      </c>
      <c r="J31" s="35">
        <v>2.34</v>
      </c>
    </row>
    <row r="32" spans="1:14" ht="19" x14ac:dyDescent="0.25">
      <c r="A32" s="5" t="s">
        <v>25</v>
      </c>
      <c r="B32" s="12">
        <v>-0.41</v>
      </c>
      <c r="C32" s="12">
        <v>-0.25</v>
      </c>
      <c r="D32" s="12">
        <v>-0.09</v>
      </c>
      <c r="E32" s="12">
        <v>-0.1</v>
      </c>
    </row>
    <row r="33" spans="1:5" ht="19" x14ac:dyDescent="0.25">
      <c r="A33" s="5" t="s">
        <v>26</v>
      </c>
      <c r="B33" s="1">
        <v>795761905</v>
      </c>
      <c r="C33" s="1">
        <v>795761905</v>
      </c>
      <c r="D33" s="1">
        <v>795761905</v>
      </c>
      <c r="E33" s="1">
        <v>795761905</v>
      </c>
    </row>
    <row r="34" spans="1:5" ht="19" x14ac:dyDescent="0.25">
      <c r="A34" s="5" t="s">
        <v>27</v>
      </c>
      <c r="B34" s="1">
        <v>795761905</v>
      </c>
      <c r="C34" s="1">
        <v>795761905</v>
      </c>
      <c r="D34" s="1">
        <v>795761905</v>
      </c>
      <c r="E34" s="1">
        <v>795761905</v>
      </c>
    </row>
    <row r="35" spans="1:5" ht="20" customHeight="1" x14ac:dyDescent="0.25">
      <c r="A35" s="14" t="s">
        <v>102</v>
      </c>
      <c r="B35" s="1"/>
      <c r="C35" s="23">
        <f>(C34-B34)/B34</f>
        <v>0</v>
      </c>
      <c r="D35" s="23">
        <f t="shared" ref="D35:E35" si="7">(D34-C34)/C34</f>
        <v>0</v>
      </c>
      <c r="E35" s="23">
        <f t="shared" si="7"/>
        <v>0</v>
      </c>
    </row>
    <row r="36" spans="1:5" ht="19" x14ac:dyDescent="0.25">
      <c r="A36" s="5" t="s">
        <v>28</v>
      </c>
      <c r="B36" s="13" t="s">
        <v>92</v>
      </c>
      <c r="C36" s="13" t="s">
        <v>92</v>
      </c>
      <c r="D36" s="13" t="s">
        <v>92</v>
      </c>
      <c r="E36" s="13" t="s">
        <v>92</v>
      </c>
    </row>
    <row r="37" spans="1:5" ht="21" x14ac:dyDescent="0.25">
      <c r="A37" s="4" t="s">
        <v>29</v>
      </c>
      <c r="B37" s="9" t="s">
        <v>90</v>
      </c>
      <c r="C37" s="9" t="s">
        <v>90</v>
      </c>
      <c r="D37" s="9" t="s">
        <v>90</v>
      </c>
      <c r="E37" s="9" t="s">
        <v>90</v>
      </c>
    </row>
    <row r="38" spans="1:5" ht="19" x14ac:dyDescent="0.25">
      <c r="A38" s="5" t="s">
        <v>30</v>
      </c>
      <c r="B38" s="1" t="s">
        <v>91</v>
      </c>
      <c r="C38" s="1">
        <v>85000000</v>
      </c>
      <c r="D38" s="1">
        <v>616000000</v>
      </c>
      <c r="E38" s="1">
        <v>1024000000</v>
      </c>
    </row>
    <row r="39" spans="1:5" ht="19" x14ac:dyDescent="0.25">
      <c r="A39" s="5" t="s">
        <v>31</v>
      </c>
      <c r="B39" s="1" t="s">
        <v>91</v>
      </c>
      <c r="C39" s="1" t="s">
        <v>91</v>
      </c>
      <c r="D39" s="1" t="s">
        <v>91</v>
      </c>
      <c r="E39" s="1" t="s">
        <v>91</v>
      </c>
    </row>
    <row r="40" spans="1:5" ht="19" x14ac:dyDescent="0.25">
      <c r="A40" s="5" t="s">
        <v>32</v>
      </c>
      <c r="B40" s="1" t="s">
        <v>91</v>
      </c>
      <c r="C40" s="1">
        <v>85000000</v>
      </c>
      <c r="D40" s="1">
        <v>616000000</v>
      </c>
      <c r="E40" s="1">
        <v>1024000000</v>
      </c>
    </row>
    <row r="41" spans="1:5" ht="19" x14ac:dyDescent="0.25">
      <c r="A41" s="5" t="s">
        <v>33</v>
      </c>
      <c r="B41" s="1" t="s">
        <v>91</v>
      </c>
      <c r="C41" s="1">
        <v>1425000000</v>
      </c>
      <c r="D41" s="1">
        <v>1481000000</v>
      </c>
      <c r="E41" s="1">
        <v>269000000</v>
      </c>
    </row>
    <row r="42" spans="1:5" ht="19" x14ac:dyDescent="0.25">
      <c r="A42" s="5" t="s">
        <v>34</v>
      </c>
      <c r="B42" s="1" t="s">
        <v>91</v>
      </c>
      <c r="C42" s="1">
        <v>128000000</v>
      </c>
      <c r="D42" s="1">
        <v>97000000</v>
      </c>
      <c r="E42" s="1">
        <v>113000000</v>
      </c>
    </row>
    <row r="43" spans="1:5" ht="19" x14ac:dyDescent="0.25">
      <c r="A43" s="5" t="s">
        <v>35</v>
      </c>
      <c r="B43" s="1" t="s">
        <v>91</v>
      </c>
      <c r="C43" s="1">
        <v>54000000</v>
      </c>
      <c r="D43" s="1">
        <v>76000000</v>
      </c>
      <c r="E43" s="1">
        <v>110000000</v>
      </c>
    </row>
    <row r="44" spans="1:5" ht="19" x14ac:dyDescent="0.25">
      <c r="A44" s="6" t="s">
        <v>36</v>
      </c>
      <c r="B44" s="10" t="s">
        <v>91</v>
      </c>
      <c r="C44" s="10">
        <v>1692000000</v>
      </c>
      <c r="D44" s="10">
        <v>2270000000</v>
      </c>
      <c r="E44" s="10">
        <v>1516000000</v>
      </c>
    </row>
    <row r="45" spans="1:5" ht="19" x14ac:dyDescent="0.25">
      <c r="A45" s="5" t="s">
        <v>37</v>
      </c>
      <c r="B45" s="1" t="s">
        <v>91</v>
      </c>
      <c r="C45" s="1">
        <v>187000000</v>
      </c>
      <c r="D45" s="1">
        <v>304000000</v>
      </c>
      <c r="E45" s="1">
        <v>384000000</v>
      </c>
    </row>
    <row r="46" spans="1:5" ht="19" x14ac:dyDescent="0.25">
      <c r="A46" s="5" t="s">
        <v>38</v>
      </c>
      <c r="B46" s="1" t="s">
        <v>91</v>
      </c>
      <c r="C46" s="1">
        <v>10895000000</v>
      </c>
      <c r="D46" s="1">
        <v>10895000000</v>
      </c>
      <c r="E46" s="1">
        <v>10895000000</v>
      </c>
    </row>
    <row r="47" spans="1:5" ht="19" x14ac:dyDescent="0.25">
      <c r="A47" s="5" t="s">
        <v>39</v>
      </c>
      <c r="B47" s="1" t="s">
        <v>91</v>
      </c>
      <c r="C47" s="1">
        <v>3580000000</v>
      </c>
      <c r="D47" s="1">
        <v>3071000000</v>
      </c>
      <c r="E47" s="1">
        <v>2527000000</v>
      </c>
    </row>
    <row r="48" spans="1:5" ht="19" x14ac:dyDescent="0.25">
      <c r="A48" s="5" t="s">
        <v>40</v>
      </c>
      <c r="B48" s="1" t="s">
        <v>91</v>
      </c>
      <c r="C48" s="1">
        <v>14475000000</v>
      </c>
      <c r="D48" s="1">
        <v>13966000000</v>
      </c>
      <c r="E48" s="1">
        <v>13422000000</v>
      </c>
    </row>
    <row r="49" spans="1:5" ht="19" x14ac:dyDescent="0.25">
      <c r="A49" s="5" t="s">
        <v>41</v>
      </c>
      <c r="B49" s="1" t="s">
        <v>91</v>
      </c>
      <c r="C49" s="1" t="s">
        <v>91</v>
      </c>
      <c r="D49" s="1" t="s">
        <v>91</v>
      </c>
      <c r="E49" s="1" t="s">
        <v>91</v>
      </c>
    </row>
    <row r="50" spans="1:5" ht="19" x14ac:dyDescent="0.25">
      <c r="A50" s="5" t="s">
        <v>42</v>
      </c>
      <c r="B50" s="1" t="s">
        <v>91</v>
      </c>
      <c r="C50" s="1" t="s">
        <v>91</v>
      </c>
      <c r="D50" s="1" t="s">
        <v>91</v>
      </c>
      <c r="E50" s="1" t="s">
        <v>91</v>
      </c>
    </row>
    <row r="51" spans="1:5" ht="19" x14ac:dyDescent="0.25">
      <c r="A51" s="5" t="s">
        <v>43</v>
      </c>
      <c r="B51" s="1" t="s">
        <v>91</v>
      </c>
      <c r="C51" s="1">
        <v>108000000</v>
      </c>
      <c r="D51" s="1">
        <v>115000000</v>
      </c>
      <c r="E51" s="1">
        <v>119000000</v>
      </c>
    </row>
    <row r="52" spans="1:5" ht="19" x14ac:dyDescent="0.25">
      <c r="A52" s="5" t="s">
        <v>44</v>
      </c>
      <c r="B52" s="1" t="s">
        <v>91</v>
      </c>
      <c r="C52" s="1">
        <v>14770000000</v>
      </c>
      <c r="D52" s="1">
        <v>14385000000</v>
      </c>
      <c r="E52" s="1">
        <v>13925000000</v>
      </c>
    </row>
    <row r="53" spans="1:5" ht="19" x14ac:dyDescent="0.25">
      <c r="A53" s="5" t="s">
        <v>45</v>
      </c>
      <c r="B53" s="1" t="s">
        <v>91</v>
      </c>
      <c r="C53" s="1" t="s">
        <v>91</v>
      </c>
      <c r="D53" s="1" t="s">
        <v>91</v>
      </c>
      <c r="E53" s="1" t="s">
        <v>91</v>
      </c>
    </row>
    <row r="54" spans="1:5" ht="20" thickBot="1" x14ac:dyDescent="0.3">
      <c r="A54" s="7" t="s">
        <v>46</v>
      </c>
      <c r="B54" s="11" t="s">
        <v>91</v>
      </c>
      <c r="C54" s="11">
        <v>16462000000</v>
      </c>
      <c r="D54" s="11">
        <v>16655000000</v>
      </c>
      <c r="E54" s="11">
        <v>15441000000</v>
      </c>
    </row>
    <row r="55" spans="1:5" ht="20" thickTop="1" x14ac:dyDescent="0.25">
      <c r="A55" s="5" t="s">
        <v>47</v>
      </c>
      <c r="B55" s="1" t="s">
        <v>91</v>
      </c>
      <c r="C55" s="1">
        <v>109000000</v>
      </c>
      <c r="D55" s="1">
        <v>160000000</v>
      </c>
      <c r="E55" s="1">
        <v>189000000</v>
      </c>
    </row>
    <row r="56" spans="1:5" ht="19" x14ac:dyDescent="0.25">
      <c r="A56" s="5" t="s">
        <v>48</v>
      </c>
      <c r="B56" s="1" t="s">
        <v>91</v>
      </c>
      <c r="C56" s="1" t="s">
        <v>91</v>
      </c>
      <c r="D56" s="1" t="s">
        <v>91</v>
      </c>
      <c r="E56" s="1">
        <v>0</v>
      </c>
    </row>
    <row r="57" spans="1:5" ht="19" x14ac:dyDescent="0.25">
      <c r="A57" s="5" t="s">
        <v>49</v>
      </c>
      <c r="B57" s="1" t="s">
        <v>91</v>
      </c>
      <c r="C57" s="1" t="s">
        <v>91</v>
      </c>
      <c r="D57" s="1" t="s">
        <v>91</v>
      </c>
      <c r="E57" s="1" t="s">
        <v>91</v>
      </c>
    </row>
    <row r="58" spans="1:5" ht="19" x14ac:dyDescent="0.25">
      <c r="A58" s="5" t="s">
        <v>50</v>
      </c>
      <c r="B58" s="1" t="s">
        <v>91</v>
      </c>
      <c r="C58" s="1" t="s">
        <v>91</v>
      </c>
      <c r="D58" s="1" t="s">
        <v>91</v>
      </c>
      <c r="E58" s="1" t="s">
        <v>91</v>
      </c>
    </row>
    <row r="59" spans="1:5" ht="19" x14ac:dyDescent="0.25">
      <c r="A59" s="5" t="s">
        <v>51</v>
      </c>
      <c r="B59" s="1" t="s">
        <v>91</v>
      </c>
      <c r="C59" s="1">
        <v>201000000</v>
      </c>
      <c r="D59" s="1">
        <v>314000000</v>
      </c>
      <c r="E59" s="1">
        <v>195000000</v>
      </c>
    </row>
    <row r="60" spans="1:5" ht="19" x14ac:dyDescent="0.25">
      <c r="A60" s="6" t="s">
        <v>52</v>
      </c>
      <c r="B60" s="10" t="s">
        <v>91</v>
      </c>
      <c r="C60" s="10">
        <v>310000000</v>
      </c>
      <c r="D60" s="10">
        <v>474000000</v>
      </c>
      <c r="E60" s="10">
        <v>384000000</v>
      </c>
    </row>
    <row r="61" spans="1:5" ht="19" x14ac:dyDescent="0.25">
      <c r="A61" s="5" t="s">
        <v>53</v>
      </c>
      <c r="B61" s="1" t="s">
        <v>91</v>
      </c>
      <c r="C61" s="1" t="s">
        <v>91</v>
      </c>
      <c r="D61" s="1" t="s">
        <v>91</v>
      </c>
      <c r="E61" s="1">
        <v>0</v>
      </c>
    </row>
    <row r="62" spans="1:5" ht="19" x14ac:dyDescent="0.25">
      <c r="A62" s="5" t="s">
        <v>50</v>
      </c>
      <c r="B62" s="1" t="s">
        <v>91</v>
      </c>
      <c r="C62" s="1" t="s">
        <v>91</v>
      </c>
      <c r="D62" s="1" t="s">
        <v>91</v>
      </c>
      <c r="E62" s="1" t="s">
        <v>91</v>
      </c>
    </row>
    <row r="63" spans="1:5" ht="19" x14ac:dyDescent="0.25">
      <c r="A63" s="5" t="s">
        <v>54</v>
      </c>
      <c r="B63" s="1" t="s">
        <v>91</v>
      </c>
      <c r="C63" s="1">
        <v>208000000</v>
      </c>
      <c r="D63" s="1">
        <v>181000000</v>
      </c>
      <c r="E63" s="1">
        <v>162000000</v>
      </c>
    </row>
    <row r="64" spans="1:5" ht="19" x14ac:dyDescent="0.25">
      <c r="A64" s="5" t="s">
        <v>55</v>
      </c>
      <c r="B64" s="1" t="s">
        <v>91</v>
      </c>
      <c r="C64" s="1">
        <v>102000000</v>
      </c>
      <c r="D64" s="1">
        <v>111000000</v>
      </c>
      <c r="E64" s="1">
        <v>101000000</v>
      </c>
    </row>
    <row r="65" spans="1:5" ht="19" x14ac:dyDescent="0.25">
      <c r="A65" s="5" t="s">
        <v>56</v>
      </c>
      <c r="B65" s="1" t="s">
        <v>91</v>
      </c>
      <c r="C65" s="1">
        <v>310000000</v>
      </c>
      <c r="D65" s="1">
        <v>292000000</v>
      </c>
      <c r="E65" s="1">
        <v>263000000</v>
      </c>
    </row>
    <row r="66" spans="1:5" ht="19" x14ac:dyDescent="0.25">
      <c r="A66" s="5" t="s">
        <v>57</v>
      </c>
      <c r="B66" s="1" t="s">
        <v>91</v>
      </c>
      <c r="C66" s="1" t="s">
        <v>91</v>
      </c>
      <c r="D66" s="1" t="s">
        <v>91</v>
      </c>
      <c r="E66" s="1" t="s">
        <v>91</v>
      </c>
    </row>
    <row r="67" spans="1:5" ht="19" x14ac:dyDescent="0.25">
      <c r="A67" s="6" t="s">
        <v>58</v>
      </c>
      <c r="B67" s="10" t="s">
        <v>91</v>
      </c>
      <c r="C67" s="10">
        <v>620000000</v>
      </c>
      <c r="D67" s="10">
        <v>766000000</v>
      </c>
      <c r="E67" s="10">
        <v>647000000</v>
      </c>
    </row>
    <row r="68" spans="1:5" ht="19" x14ac:dyDescent="0.25">
      <c r="A68" s="5" t="s">
        <v>59</v>
      </c>
      <c r="B68" s="1" t="s">
        <v>91</v>
      </c>
      <c r="C68" s="1">
        <v>15842000000</v>
      </c>
      <c r="D68" s="1">
        <v>15884000000</v>
      </c>
      <c r="E68" s="1" t="s">
        <v>91</v>
      </c>
    </row>
    <row r="69" spans="1:5" ht="19" x14ac:dyDescent="0.25">
      <c r="A69" s="5" t="s">
        <v>60</v>
      </c>
      <c r="B69" s="1" t="s">
        <v>91</v>
      </c>
      <c r="C69" s="1" t="s">
        <v>91</v>
      </c>
      <c r="D69" s="1" t="s">
        <v>91</v>
      </c>
      <c r="E69" s="1" t="s">
        <v>91</v>
      </c>
    </row>
    <row r="70" spans="1:5" ht="19" x14ac:dyDescent="0.25">
      <c r="A70" s="5" t="s">
        <v>61</v>
      </c>
      <c r="B70" s="1" t="s">
        <v>91</v>
      </c>
      <c r="C70" s="1" t="s">
        <v>91</v>
      </c>
      <c r="D70" s="1">
        <v>5000000</v>
      </c>
      <c r="E70" s="1" t="s">
        <v>91</v>
      </c>
    </row>
    <row r="71" spans="1:5" ht="19" x14ac:dyDescent="0.25">
      <c r="A71" s="5" t="s">
        <v>62</v>
      </c>
      <c r="B71" s="1" t="s">
        <v>91</v>
      </c>
      <c r="C71" s="1" t="s">
        <v>91</v>
      </c>
      <c r="D71" s="1" t="s">
        <v>91</v>
      </c>
      <c r="E71" s="1" t="s">
        <v>91</v>
      </c>
    </row>
    <row r="72" spans="1:5" ht="19" x14ac:dyDescent="0.25">
      <c r="A72" s="6" t="s">
        <v>63</v>
      </c>
      <c r="B72" s="10" t="s">
        <v>91</v>
      </c>
      <c r="C72" s="10">
        <v>15842000000</v>
      </c>
      <c r="D72" s="10">
        <v>15889000000</v>
      </c>
      <c r="E72" s="10">
        <v>14794000000</v>
      </c>
    </row>
    <row r="73" spans="1:5" ht="20" thickBot="1" x14ac:dyDescent="0.3">
      <c r="A73" s="7" t="s">
        <v>64</v>
      </c>
      <c r="B73" s="11" t="s">
        <v>91</v>
      </c>
      <c r="C73" s="11">
        <v>16462000000</v>
      </c>
      <c r="D73" s="11">
        <v>16655000000</v>
      </c>
      <c r="E73" s="11">
        <v>15441000000</v>
      </c>
    </row>
    <row r="74" spans="1:5" ht="20" thickTop="1" x14ac:dyDescent="0.25">
      <c r="A74" s="5" t="s">
        <v>28</v>
      </c>
      <c r="B74" s="13" t="s">
        <v>92</v>
      </c>
      <c r="C74" s="13" t="s">
        <v>92</v>
      </c>
      <c r="D74" s="13" t="s">
        <v>92</v>
      </c>
      <c r="E74" s="13" t="s">
        <v>92</v>
      </c>
    </row>
    <row r="75" spans="1:5" ht="21" x14ac:dyDescent="0.25">
      <c r="A75" s="4" t="s">
        <v>65</v>
      </c>
      <c r="B75" s="9" t="s">
        <v>90</v>
      </c>
      <c r="C75" s="9" t="s">
        <v>90</v>
      </c>
      <c r="D75" s="9" t="s">
        <v>90</v>
      </c>
      <c r="E75" s="9" t="s">
        <v>90</v>
      </c>
    </row>
    <row r="76" spans="1:5" ht="19" x14ac:dyDescent="0.25">
      <c r="A76" s="5" t="s">
        <v>66</v>
      </c>
      <c r="B76" s="1">
        <v>-328000000</v>
      </c>
      <c r="C76" s="1">
        <v>-196000000</v>
      </c>
      <c r="D76" s="1">
        <v>-75000000</v>
      </c>
      <c r="E76" s="1">
        <v>-82000000</v>
      </c>
    </row>
    <row r="77" spans="1:5" ht="19" x14ac:dyDescent="0.25">
      <c r="A77" s="5" t="s">
        <v>13</v>
      </c>
      <c r="B77" s="1">
        <v>338000000</v>
      </c>
      <c r="C77" s="1">
        <v>463000000</v>
      </c>
      <c r="D77" s="1">
        <v>526000000</v>
      </c>
      <c r="E77" s="1">
        <v>567000000</v>
      </c>
    </row>
    <row r="78" spans="1:5" ht="19" x14ac:dyDescent="0.25">
      <c r="A78" s="5" t="s">
        <v>67</v>
      </c>
      <c r="B78" s="1">
        <v>-32000000</v>
      </c>
      <c r="C78" s="1">
        <v>-53000000</v>
      </c>
      <c r="D78" s="1">
        <v>-29000000</v>
      </c>
      <c r="E78" s="1">
        <v>-9000000</v>
      </c>
    </row>
    <row r="79" spans="1:5" ht="19" x14ac:dyDescent="0.25">
      <c r="A79" s="5" t="s">
        <v>68</v>
      </c>
      <c r="B79" s="1">
        <v>76000000</v>
      </c>
      <c r="C79" s="1">
        <v>85000000</v>
      </c>
      <c r="D79" s="1">
        <v>97000000</v>
      </c>
      <c r="E79" s="1">
        <v>174000000</v>
      </c>
    </row>
    <row r="80" spans="1:5" ht="19" x14ac:dyDescent="0.25">
      <c r="A80" s="14" t="s">
        <v>103</v>
      </c>
      <c r="B80" s="15">
        <f t="shared" ref="B80:E80" si="8">B79/B3</f>
        <v>8.6461888509670085E-2</v>
      </c>
      <c r="C80" s="15">
        <f t="shared" si="8"/>
        <v>8.790072388831438E-2</v>
      </c>
      <c r="D80" s="15">
        <f t="shared" si="8"/>
        <v>6.9985569985569984E-2</v>
      </c>
      <c r="E80" s="15">
        <f t="shared" si="8"/>
        <v>9.3097913322632425E-2</v>
      </c>
    </row>
    <row r="81" spans="1:13" ht="19" x14ac:dyDescent="0.25">
      <c r="A81" s="5" t="s">
        <v>69</v>
      </c>
      <c r="B81" s="1">
        <v>-12000000</v>
      </c>
      <c r="C81" s="1">
        <v>-30000000</v>
      </c>
      <c r="D81" s="1">
        <v>80000000</v>
      </c>
      <c r="E81" s="1">
        <v>-138000000</v>
      </c>
    </row>
    <row r="82" spans="1:13" ht="19" x14ac:dyDescent="0.25">
      <c r="A82" s="5" t="s">
        <v>70</v>
      </c>
      <c r="B82" s="1">
        <v>-23000000</v>
      </c>
      <c r="C82" s="1">
        <v>7000000</v>
      </c>
      <c r="D82" s="1">
        <v>-62000000</v>
      </c>
      <c r="E82" s="1">
        <v>-114000000</v>
      </c>
    </row>
    <row r="83" spans="1:13" ht="21" x14ac:dyDescent="0.25">
      <c r="A83" s="5" t="s">
        <v>34</v>
      </c>
      <c r="B83" s="1">
        <v>-26000000</v>
      </c>
      <c r="C83" s="1">
        <v>-25000000</v>
      </c>
      <c r="D83" s="1">
        <v>31000000</v>
      </c>
      <c r="E83" s="1">
        <v>-16000000</v>
      </c>
      <c r="L83" s="65" t="s">
        <v>123</v>
      </c>
      <c r="M83" s="66"/>
    </row>
    <row r="84" spans="1:13" ht="19" x14ac:dyDescent="0.25">
      <c r="A84" s="5" t="s">
        <v>47</v>
      </c>
      <c r="B84" s="1" t="s">
        <v>91</v>
      </c>
      <c r="C84" s="1" t="s">
        <v>91</v>
      </c>
      <c r="D84" s="1" t="s">
        <v>91</v>
      </c>
      <c r="E84" s="1" t="s">
        <v>91</v>
      </c>
      <c r="L84" s="67" t="s">
        <v>124</v>
      </c>
      <c r="M84" s="67"/>
    </row>
    <row r="85" spans="1:13" ht="20" x14ac:dyDescent="0.25">
      <c r="A85" s="5" t="s">
        <v>71</v>
      </c>
      <c r="B85" s="1">
        <v>41000000</v>
      </c>
      <c r="C85" s="1">
        <v>37000000</v>
      </c>
      <c r="D85" s="1">
        <v>36000000</v>
      </c>
      <c r="E85" s="1">
        <v>-52000000</v>
      </c>
      <c r="L85" s="43" t="s">
        <v>125</v>
      </c>
      <c r="M85" s="44">
        <f>E17</f>
        <v>24000000</v>
      </c>
    </row>
    <row r="86" spans="1:13" ht="20" x14ac:dyDescent="0.25">
      <c r="A86" s="5" t="s">
        <v>72</v>
      </c>
      <c r="B86" s="1">
        <v>258000000</v>
      </c>
      <c r="C86" s="1">
        <v>2000000</v>
      </c>
      <c r="D86" s="1" t="s">
        <v>91</v>
      </c>
      <c r="E86" s="1">
        <v>34000000</v>
      </c>
      <c r="L86" s="43" t="s">
        <v>126</v>
      </c>
      <c r="M86" s="44">
        <f>E56</f>
        <v>0</v>
      </c>
    </row>
    <row r="87" spans="1:13" ht="20" x14ac:dyDescent="0.25">
      <c r="A87" s="6" t="s">
        <v>73</v>
      </c>
      <c r="B87" s="10">
        <v>300000000</v>
      </c>
      <c r="C87" s="10">
        <v>271000000</v>
      </c>
      <c r="D87" s="10">
        <v>599000000</v>
      </c>
      <c r="E87" s="10">
        <v>546000000</v>
      </c>
      <c r="L87" s="43" t="s">
        <v>127</v>
      </c>
      <c r="M87" s="44">
        <f>E61</f>
        <v>0</v>
      </c>
    </row>
    <row r="88" spans="1:13" ht="20" x14ac:dyDescent="0.25">
      <c r="A88" s="5" t="s">
        <v>74</v>
      </c>
      <c r="B88" s="1">
        <v>-44000000</v>
      </c>
      <c r="C88" s="1">
        <v>-91000000</v>
      </c>
      <c r="D88" s="1">
        <v>-143000000</v>
      </c>
      <c r="E88" s="1">
        <v>-111000000</v>
      </c>
      <c r="L88" s="45" t="s">
        <v>128</v>
      </c>
      <c r="M88" s="46">
        <f>0</f>
        <v>0</v>
      </c>
    </row>
    <row r="89" spans="1:13" ht="20" customHeight="1" x14ac:dyDescent="0.25">
      <c r="A89" s="14" t="s">
        <v>104</v>
      </c>
      <c r="B89" s="15">
        <f t="shared" ref="B89:E89" si="9">(-1*B88)/B3</f>
        <v>5.0056882821387941E-2</v>
      </c>
      <c r="C89" s="15">
        <f t="shared" si="9"/>
        <v>9.4105480868665978E-2</v>
      </c>
      <c r="D89" s="15">
        <f t="shared" si="9"/>
        <v>0.10317460317460317</v>
      </c>
      <c r="E89" s="15">
        <f t="shared" si="9"/>
        <v>5.93900481540931E-2</v>
      </c>
      <c r="L89" s="43" t="s">
        <v>105</v>
      </c>
      <c r="M89" s="44">
        <f>E27</f>
        <v>50000000</v>
      </c>
    </row>
    <row r="90" spans="1:13" ht="20" x14ac:dyDescent="0.25">
      <c r="A90" s="5" t="s">
        <v>75</v>
      </c>
      <c r="B90" s="1" t="s">
        <v>91</v>
      </c>
      <c r="C90" s="1">
        <v>-745000000</v>
      </c>
      <c r="D90" s="1" t="s">
        <v>91</v>
      </c>
      <c r="E90" s="1" t="s">
        <v>91</v>
      </c>
      <c r="L90" s="43" t="s">
        <v>19</v>
      </c>
      <c r="M90" s="44">
        <f>E25</f>
        <v>-32000000</v>
      </c>
    </row>
    <row r="91" spans="1:13" ht="20" x14ac:dyDescent="0.25">
      <c r="A91" s="5" t="s">
        <v>76</v>
      </c>
      <c r="B91" s="1" t="s">
        <v>91</v>
      </c>
      <c r="C91" s="1" t="s">
        <v>91</v>
      </c>
      <c r="D91" s="1" t="s">
        <v>91</v>
      </c>
      <c r="E91" s="1" t="s">
        <v>91</v>
      </c>
      <c r="L91" s="45" t="s">
        <v>129</v>
      </c>
      <c r="M91" s="46">
        <f>M89/M90</f>
        <v>-1.5625</v>
      </c>
    </row>
    <row r="92" spans="1:13" ht="20" x14ac:dyDescent="0.25">
      <c r="A92" s="5" t="s">
        <v>77</v>
      </c>
      <c r="B92" s="1" t="s">
        <v>91</v>
      </c>
      <c r="C92" s="1" t="s">
        <v>91</v>
      </c>
      <c r="D92" s="1" t="s">
        <v>91</v>
      </c>
      <c r="E92" s="1" t="s">
        <v>91</v>
      </c>
      <c r="L92" s="45" t="s">
        <v>130</v>
      </c>
      <c r="M92" s="46">
        <f>M88*(1-M91)</f>
        <v>0</v>
      </c>
    </row>
    <row r="93" spans="1:13" ht="19" x14ac:dyDescent="0.25">
      <c r="A93" s="5" t="s">
        <v>78</v>
      </c>
      <c r="B93" s="1">
        <v>-181000000</v>
      </c>
      <c r="C93" s="1">
        <v>-129000000</v>
      </c>
      <c r="D93" s="1">
        <v>-14000000</v>
      </c>
      <c r="E93" s="1">
        <v>1298000000</v>
      </c>
      <c r="L93" s="67" t="s">
        <v>131</v>
      </c>
      <c r="M93" s="67"/>
    </row>
    <row r="94" spans="1:13" ht="20" x14ac:dyDescent="0.25">
      <c r="A94" s="6" t="s">
        <v>79</v>
      </c>
      <c r="B94" s="10">
        <v>-225000000</v>
      </c>
      <c r="C94" s="10">
        <v>-965000000</v>
      </c>
      <c r="D94" s="10">
        <v>-157000000</v>
      </c>
      <c r="E94" s="10">
        <v>1187000000</v>
      </c>
      <c r="L94" s="43" t="s">
        <v>132</v>
      </c>
      <c r="M94" s="47">
        <f>[1]Treasuries!$C$8</f>
        <v>4.0480000000000002E-2</v>
      </c>
    </row>
    <row r="95" spans="1:13" ht="20" x14ac:dyDescent="0.25">
      <c r="A95" s="5" t="s">
        <v>80</v>
      </c>
      <c r="B95" s="1" t="s">
        <v>91</v>
      </c>
      <c r="C95" s="1" t="s">
        <v>91</v>
      </c>
      <c r="D95" s="1" t="s">
        <v>91</v>
      </c>
      <c r="E95" s="1" t="s">
        <v>91</v>
      </c>
      <c r="L95" s="43" t="s">
        <v>133</v>
      </c>
      <c r="M95" s="48">
        <v>1.53</v>
      </c>
    </row>
    <row r="96" spans="1:13" ht="20" x14ac:dyDescent="0.25">
      <c r="A96" s="5" t="s">
        <v>81</v>
      </c>
      <c r="B96" s="1" t="s">
        <v>91</v>
      </c>
      <c r="C96" s="1" t="s">
        <v>91</v>
      </c>
      <c r="D96" s="1" t="s">
        <v>91</v>
      </c>
      <c r="E96" s="1">
        <v>1034000000</v>
      </c>
      <c r="L96" s="43" t="s">
        <v>134</v>
      </c>
      <c r="M96" s="47">
        <v>8.4000000000000005E-2</v>
      </c>
    </row>
    <row r="97" spans="1:13" ht="20" x14ac:dyDescent="0.25">
      <c r="A97" s="5" t="s">
        <v>82</v>
      </c>
      <c r="B97" s="1" t="s">
        <v>91</v>
      </c>
      <c r="C97" s="1" t="s">
        <v>91</v>
      </c>
      <c r="D97" s="1" t="s">
        <v>91</v>
      </c>
      <c r="E97" s="1" t="s">
        <v>91</v>
      </c>
      <c r="L97" s="45" t="s">
        <v>135</v>
      </c>
      <c r="M97" s="46">
        <f>(M94)+((M95)*(M96-M94))</f>
        <v>0.10706560000000001</v>
      </c>
    </row>
    <row r="98" spans="1:13" ht="19" x14ac:dyDescent="0.25">
      <c r="A98" s="5" t="s">
        <v>83</v>
      </c>
      <c r="B98" s="1" t="s">
        <v>91</v>
      </c>
      <c r="C98" s="1" t="s">
        <v>91</v>
      </c>
      <c r="D98" s="1" t="s">
        <v>91</v>
      </c>
      <c r="E98" s="1">
        <v>-337000000</v>
      </c>
      <c r="L98" s="67" t="s">
        <v>136</v>
      </c>
      <c r="M98" s="67"/>
    </row>
    <row r="99" spans="1:13" ht="20" x14ac:dyDescent="0.25">
      <c r="A99" s="5" t="s">
        <v>84</v>
      </c>
      <c r="B99" s="1">
        <v>-59000000</v>
      </c>
      <c r="C99" s="1">
        <v>732000000</v>
      </c>
      <c r="D99" s="1">
        <v>91000000</v>
      </c>
      <c r="E99" s="1">
        <v>-2014000000</v>
      </c>
      <c r="L99" s="43" t="s">
        <v>137</v>
      </c>
      <c r="M99" s="44">
        <f>M86+M87</f>
        <v>0</v>
      </c>
    </row>
    <row r="100" spans="1:13" ht="20" x14ac:dyDescent="0.25">
      <c r="A100" s="6" t="s">
        <v>85</v>
      </c>
      <c r="B100" s="10">
        <v>-59000000</v>
      </c>
      <c r="C100" s="10">
        <v>732000000</v>
      </c>
      <c r="D100" s="10">
        <v>91000000</v>
      </c>
      <c r="E100" s="10">
        <v>-1317000000</v>
      </c>
      <c r="L100" s="45" t="s">
        <v>138</v>
      </c>
      <c r="M100" s="46">
        <f>M99/M103</f>
        <v>0</v>
      </c>
    </row>
    <row r="101" spans="1:13" ht="20" x14ac:dyDescent="0.25">
      <c r="A101" s="5" t="s">
        <v>86</v>
      </c>
      <c r="B101" s="1" t="s">
        <v>91</v>
      </c>
      <c r="C101" s="1" t="s">
        <v>91</v>
      </c>
      <c r="D101" s="1">
        <v>-1000000</v>
      </c>
      <c r="E101" s="1">
        <v>-6000000</v>
      </c>
      <c r="L101" s="43" t="s">
        <v>139</v>
      </c>
      <c r="M101" s="49" cm="1">
        <f t="array" ref="M101">_FV(A1,"Market cap",TRUE)</f>
        <v>32580975324</v>
      </c>
    </row>
    <row r="102" spans="1:13" ht="20" x14ac:dyDescent="0.25">
      <c r="A102" s="6" t="s">
        <v>87</v>
      </c>
      <c r="B102" s="10">
        <v>16000000</v>
      </c>
      <c r="C102" s="10">
        <v>38000000</v>
      </c>
      <c r="D102" s="10">
        <v>532000000</v>
      </c>
      <c r="E102" s="10">
        <v>410000000</v>
      </c>
      <c r="L102" s="45" t="s">
        <v>140</v>
      </c>
      <c r="M102" s="46">
        <f>M101/M103</f>
        <v>1</v>
      </c>
    </row>
    <row r="103" spans="1:13" ht="20" x14ac:dyDescent="0.25">
      <c r="A103" s="5" t="s">
        <v>88</v>
      </c>
      <c r="B103" s="1">
        <v>39000000</v>
      </c>
      <c r="C103" s="1">
        <v>55000000</v>
      </c>
      <c r="D103" s="1">
        <v>93000000</v>
      </c>
      <c r="E103" s="1">
        <v>625000000</v>
      </c>
      <c r="L103" s="45" t="s">
        <v>141</v>
      </c>
      <c r="M103" s="50">
        <f>M99+M101</f>
        <v>32580975324</v>
      </c>
    </row>
    <row r="104" spans="1:13" ht="20" thickBot="1" x14ac:dyDescent="0.3">
      <c r="A104" s="7" t="s">
        <v>89</v>
      </c>
      <c r="B104" s="11">
        <v>55000000</v>
      </c>
      <c r="C104" s="11">
        <v>93000000</v>
      </c>
      <c r="D104" s="11">
        <v>625000000</v>
      </c>
      <c r="E104" s="11">
        <v>1035000000</v>
      </c>
      <c r="L104" s="67" t="s">
        <v>142</v>
      </c>
      <c r="M104" s="67"/>
    </row>
    <row r="105" spans="1:13" ht="21" thickTop="1" x14ac:dyDescent="0.25">
      <c r="A105" s="14" t="s">
        <v>161</v>
      </c>
      <c r="B105" s="1">
        <f t="shared" ref="B105:D105" si="10">(B22*(1-0.2))+B77+B88+B81</f>
        <v>213200000</v>
      </c>
      <c r="C105" s="1">
        <f t="shared" si="10"/>
        <v>171600000</v>
      </c>
      <c r="D105" s="1">
        <f t="shared" si="10"/>
        <v>417400000</v>
      </c>
      <c r="E105" s="1">
        <f>(E22*(1-0.2))+E77+E88+E81</f>
        <v>288400000</v>
      </c>
      <c r="F105" s="28">
        <f>E105*(1+$M$106)</f>
        <v>378765995.70718873</v>
      </c>
      <c r="G105" s="28">
        <f t="shared" ref="G105:J105" si="11">F105*(1+$M$106)</f>
        <v>497446877.61462593</v>
      </c>
      <c r="H105" s="28">
        <f t="shared" si="11"/>
        <v>653314708.4297359</v>
      </c>
      <c r="I105" s="28">
        <f t="shared" si="11"/>
        <v>858021484.21824062</v>
      </c>
      <c r="J105" s="28">
        <f t="shared" si="11"/>
        <v>1126870186.5744863</v>
      </c>
      <c r="K105" s="29" t="s">
        <v>163</v>
      </c>
      <c r="L105" s="51" t="s">
        <v>106</v>
      </c>
      <c r="M105" s="52">
        <f>(M100*M92)+(M102*M97)</f>
        <v>0.10706560000000001</v>
      </c>
    </row>
    <row r="106" spans="1:13" ht="19" x14ac:dyDescent="0.25">
      <c r="A106" s="14" t="s">
        <v>160</v>
      </c>
      <c r="B106" s="1"/>
      <c r="C106" s="15">
        <f>(C107/B107)-1</f>
        <v>-0.296875</v>
      </c>
      <c r="D106" s="15">
        <f>(D107/C107)-1</f>
        <v>1.5333333333333332</v>
      </c>
      <c r="E106" s="15">
        <f>(E107/D107)-1</f>
        <v>-4.6052631578947345E-2</v>
      </c>
      <c r="F106" s="38">
        <v>659300000</v>
      </c>
      <c r="G106" s="38">
        <v>1323000000</v>
      </c>
      <c r="H106" s="38">
        <v>2227000000</v>
      </c>
      <c r="I106" s="38">
        <v>3554000000</v>
      </c>
      <c r="J106" s="38">
        <v>3676000000</v>
      </c>
      <c r="K106" s="29" t="s">
        <v>162</v>
      </c>
      <c r="L106" s="53" t="s">
        <v>143</v>
      </c>
      <c r="M106" s="54">
        <f>(SUM(F4:J4)/5)</f>
        <v>0.31333563005266563</v>
      </c>
    </row>
    <row r="107" spans="1:13" ht="19" x14ac:dyDescent="0.25">
      <c r="A107" s="40" t="s">
        <v>159</v>
      </c>
      <c r="B107" s="1">
        <v>256000000</v>
      </c>
      <c r="C107" s="1">
        <v>180000000</v>
      </c>
      <c r="D107" s="1">
        <v>456000000</v>
      </c>
      <c r="E107" s="1">
        <v>435000000</v>
      </c>
      <c r="F107" s="29"/>
      <c r="G107" s="29"/>
      <c r="H107" s="29"/>
      <c r="I107" s="29"/>
      <c r="J107" s="39">
        <f>J106*(1+M107)/(M108-M107)</f>
        <v>45913269384.492393</v>
      </c>
      <c r="K107" s="30" t="s">
        <v>144</v>
      </c>
      <c r="L107" s="55" t="s">
        <v>145</v>
      </c>
      <c r="M107" s="56">
        <v>2.5000000000000001E-2</v>
      </c>
    </row>
    <row r="108" spans="1:13" ht="19" x14ac:dyDescent="0.25">
      <c r="F108" s="39">
        <f t="shared" ref="F108:I108" si="12">F107+F106</f>
        <v>659300000</v>
      </c>
      <c r="G108" s="39">
        <f t="shared" si="12"/>
        <v>1323000000</v>
      </c>
      <c r="H108" s="39">
        <f t="shared" si="12"/>
        <v>2227000000</v>
      </c>
      <c r="I108" s="39">
        <f t="shared" si="12"/>
        <v>3554000000</v>
      </c>
      <c r="J108" s="39">
        <f>J107+J106</f>
        <v>49589269384.492393</v>
      </c>
      <c r="K108" s="30" t="s">
        <v>141</v>
      </c>
      <c r="L108" s="57" t="s">
        <v>146</v>
      </c>
      <c r="M108" s="54">
        <f>M105</f>
        <v>0.10706560000000001</v>
      </c>
    </row>
    <row r="109" spans="1:13" ht="19" x14ac:dyDescent="0.25">
      <c r="F109" s="64" t="s">
        <v>147</v>
      </c>
      <c r="G109" s="64"/>
    </row>
    <row r="110" spans="1:13" ht="20" x14ac:dyDescent="0.25">
      <c r="F110" s="58" t="s">
        <v>148</v>
      </c>
      <c r="G110" s="49">
        <f>NPV(M108,F108,G108,H108,I108,J108)</f>
        <v>35503323711.539536</v>
      </c>
    </row>
    <row r="111" spans="1:13" ht="20" x14ac:dyDescent="0.25">
      <c r="F111" s="58" t="s">
        <v>149</v>
      </c>
      <c r="G111" s="49">
        <f>E40</f>
        <v>1024000000</v>
      </c>
    </row>
    <row r="112" spans="1:13" ht="20" x14ac:dyDescent="0.25">
      <c r="F112" s="58" t="s">
        <v>137</v>
      </c>
      <c r="G112" s="49">
        <f>M99</f>
        <v>0</v>
      </c>
    </row>
    <row r="113" spans="6:7" ht="20" x14ac:dyDescent="0.25">
      <c r="F113" s="58" t="s">
        <v>150</v>
      </c>
      <c r="G113" s="49">
        <f>G110+G111-G112</f>
        <v>36527323711.539536</v>
      </c>
    </row>
    <row r="114" spans="6:7" ht="20" x14ac:dyDescent="0.25">
      <c r="F114" s="58" t="s">
        <v>166</v>
      </c>
      <c r="G114" s="58">
        <f>E34*(1+(K16*5))</f>
        <v>795761905</v>
      </c>
    </row>
    <row r="115" spans="6:7" ht="20" x14ac:dyDescent="0.25">
      <c r="F115" s="59" t="s">
        <v>151</v>
      </c>
      <c r="G115" s="60">
        <f>G113/G114</f>
        <v>45.902327671163818</v>
      </c>
    </row>
    <row r="116" spans="6:7" ht="20" x14ac:dyDescent="0.25">
      <c r="F116" s="58" t="s">
        <v>152</v>
      </c>
      <c r="G116" s="61" cm="1">
        <f t="array" ref="G116">_FV(A1,"Price")</f>
        <v>40.44</v>
      </c>
    </row>
    <row r="117" spans="6:7" ht="20" x14ac:dyDescent="0.25">
      <c r="F117" s="59" t="s">
        <v>153</v>
      </c>
      <c r="G117" s="62">
        <f>G115/G116-1</f>
        <v>0.13507239542937244</v>
      </c>
    </row>
    <row r="118" spans="6:7" ht="20" x14ac:dyDescent="0.25">
      <c r="F118" s="59" t="s">
        <v>154</v>
      </c>
      <c r="G118" s="63" t="str">
        <f>IF(G115&gt;G116,"BUY","SELL")</f>
        <v>BUY</v>
      </c>
    </row>
  </sheetData>
  <mergeCells count="6">
    <mergeCell ref="F109:G109"/>
    <mergeCell ref="L83:M83"/>
    <mergeCell ref="L84:M84"/>
    <mergeCell ref="L93:M93"/>
    <mergeCell ref="L98:M98"/>
    <mergeCell ref="L104:M104"/>
  </mergeCells>
  <hyperlinks>
    <hyperlink ref="A1" r:id="rId1" tooltip="https://roic.ai/company/MBLY" display="ROIC.AI | MBLY" xr:uid="{00000000-0004-0000-0000-000000000000}"/>
    <hyperlink ref="B36" r:id="rId2" tooltip="https://sec.gov" xr:uid="{00000000-0004-0000-0000-000001000000}"/>
    <hyperlink ref="B74" r:id="rId3" tooltip="https://sec.gov" xr:uid="{00000000-0004-0000-0000-000002000000}"/>
    <hyperlink ref="C36" r:id="rId4" tooltip="https://sec.gov" xr:uid="{00000000-0004-0000-0000-000004000000}"/>
    <hyperlink ref="C74" r:id="rId5" tooltip="https://sec.gov" xr:uid="{00000000-0004-0000-0000-000005000000}"/>
    <hyperlink ref="D36" r:id="rId6" tooltip="https://sec.gov" xr:uid="{00000000-0004-0000-0000-000007000000}"/>
    <hyperlink ref="D74" r:id="rId7" tooltip="https://sec.gov" xr:uid="{00000000-0004-0000-0000-000008000000}"/>
    <hyperlink ref="E36" r:id="rId8" tooltip="https://www.sec.gov/Archives/edgar/data/1910139/000110465923030588/0001104659-23-030588-index.htm" xr:uid="{00000000-0004-0000-0000-00000A000000}"/>
    <hyperlink ref="E74" r:id="rId9" tooltip="https://www.sec.gov/Archives/edgar/data/1910139/000110465923030588/0001104659-23-030588-index.htm" xr:uid="{00000000-0004-0000-0000-00000B000000}"/>
    <hyperlink ref="F1" r:id="rId10" display="https://finbox.com/NASDAQGS:MBLY/explorer/revenue_proj" xr:uid="{8EC393B1-700E-914B-97F6-F454F3A17A39}"/>
    <hyperlink ref="K106" r:id="rId11" xr:uid="{EAEFAA12-ED62-0342-99CF-65C6C584B1C2}"/>
  </hyperlinks>
  <pageMargins left="0.7" right="0.7" top="0.75" bottom="0.75" header="0.3" footer="0.3"/>
  <drawing r:id="rId1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Avi</cp:lastModifiedBy>
  <dcterms:created xsi:type="dcterms:W3CDTF">2023-03-12T22:12:45Z</dcterms:created>
  <dcterms:modified xsi:type="dcterms:W3CDTF">2023-07-11T08:41:00Z</dcterms:modified>
</cp:coreProperties>
</file>