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800AAB9-EBDE-E44C-BC3D-6EFF9747A3ED}"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c r="R110" i="1"/>
  <c r="S110" i="1"/>
  <c r="T110" i="1"/>
  <c r="U110" i="1"/>
  <c r="B107" i="1"/>
  <c r="C107" i="1"/>
  <c r="D107" i="1"/>
  <c r="E107" i="1"/>
  <c r="F107" i="1"/>
  <c r="G107" i="1"/>
  <c r="H107" i="1"/>
  <c r="I107" i="1"/>
  <c r="J107" i="1"/>
  <c r="K107" i="1"/>
  <c r="L107" i="1"/>
  <c r="M107" i="1"/>
  <c r="N107" i="1"/>
  <c r="O107" i="1"/>
  <c r="P107" i="1"/>
  <c r="Q107" i="1"/>
  <c r="S32" i="1"/>
  <c r="T32" i="1"/>
  <c r="U32" i="1"/>
  <c r="V32" i="1"/>
  <c r="R32" i="1"/>
  <c r="R31" i="1"/>
  <c r="S31" i="1"/>
  <c r="T31" i="1"/>
  <c r="U31" i="1"/>
  <c r="V31" i="1"/>
  <c r="S23" i="1"/>
  <c r="T23" i="1"/>
  <c r="U23" i="1"/>
  <c r="V23" i="1"/>
  <c r="R23" i="1"/>
  <c r="R22" i="1"/>
  <c r="S22" i="1"/>
  <c r="T22" i="1"/>
  <c r="U22" i="1"/>
  <c r="V22" i="1"/>
  <c r="R4" i="1"/>
  <c r="Q4" i="1"/>
  <c r="P4" i="1"/>
  <c r="O4" i="1"/>
  <c r="N4" i="1"/>
  <c r="M4" i="1"/>
  <c r="L4" i="1"/>
  <c r="K4" i="1"/>
  <c r="J4" i="1"/>
  <c r="I4" i="1"/>
  <c r="H4" i="1"/>
  <c r="G4" i="1"/>
  <c r="F4" i="1"/>
  <c r="E4" i="1"/>
  <c r="D4" i="1"/>
  <c r="C4" i="1"/>
  <c r="R3" i="1"/>
  <c r="S118" i="1" a="1"/>
  <c r="S118" i="1" s="1"/>
  <c r="Y102" i="1" a="1"/>
  <c r="Y102" i="1" s="1"/>
  <c r="Y96" i="1" a="1"/>
  <c r="Y96" i="1" s="1"/>
  <c r="Y86" i="1"/>
  <c r="Y89" i="1" s="1"/>
  <c r="Y93" i="1" s="1"/>
  <c r="Y87" i="1"/>
  <c r="Y88" i="1"/>
  <c r="Y100" i="1" s="1"/>
  <c r="Y90" i="1"/>
  <c r="Y91" i="1"/>
  <c r="Y92" i="1"/>
  <c r="W21" i="1"/>
  <c r="Z15" i="1"/>
  <c r="Y15" i="1"/>
  <c r="X15" i="1"/>
  <c r="W15" i="1"/>
  <c r="Z9" i="1"/>
  <c r="Y9" i="1"/>
  <c r="X9" i="1"/>
  <c r="W9" i="1"/>
  <c r="S113" i="1"/>
  <c r="X21" i="1" l="1"/>
  <c r="Y24" i="1"/>
  <c r="Z24" i="1"/>
  <c r="Y21" i="1"/>
  <c r="Z18" i="1"/>
  <c r="Y18" i="1"/>
  <c r="X18" i="1"/>
  <c r="Y104" i="1"/>
  <c r="Y103" i="1" s="1"/>
  <c r="U6" i="1"/>
  <c r="V6" i="1"/>
  <c r="H37" i="1"/>
  <c r="I37" i="1"/>
  <c r="J37" i="1"/>
  <c r="K37" i="1"/>
  <c r="L37" i="1"/>
  <c r="M37" i="1"/>
  <c r="N37" i="1"/>
  <c r="O37" i="1"/>
  <c r="P37" i="1"/>
  <c r="Q37" i="1"/>
  <c r="W18"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8" i="1"/>
  <c r="P108" i="1"/>
  <c r="O108" i="1"/>
  <c r="N108" i="1"/>
  <c r="M108" i="1"/>
  <c r="L108" i="1"/>
  <c r="K108" i="1"/>
  <c r="J108" i="1"/>
  <c r="I108" i="1"/>
  <c r="H108" i="1"/>
  <c r="G108" i="1"/>
  <c r="F108" i="1"/>
  <c r="E108" i="1"/>
  <c r="D108" i="1"/>
  <c r="C108"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1" i="1"/>
  <c r="Y108" i="1"/>
  <c r="R107" i="1" s="1"/>
  <c r="S107" i="1" l="1"/>
  <c r="T107" i="1" s="1"/>
  <c r="U107" i="1" s="1"/>
  <c r="V107" i="1" s="1"/>
  <c r="Z21" i="1"/>
  <c r="S114" i="1"/>
  <c r="Y95" i="1" l="1"/>
  <c r="Y98" i="1" s="1"/>
  <c r="Y106" i="1" s="1"/>
  <c r="Y110" i="1" s="1"/>
  <c r="V109" i="1" l="1"/>
  <c r="V110" i="1" s="1"/>
  <c r="S112" i="1"/>
  <c r="S115" i="1" s="1"/>
  <c r="S117" i="1" s="1"/>
  <c r="S119" i="1" l="1"/>
  <c r="S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<sst xmlns="http://schemas.openxmlformats.org/spreadsheetml/2006/main" count="506" uniqueCount="169">
  <si>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</si>
  <si>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</si>
  <si>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</si>
  <si>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</si>
  <si>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</si>
  <si>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</si>
  <si>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</si>
  <si>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</si>
  <si>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</si>
  <si>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</si>
  <si>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</si>
  <si>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</si>
  <si>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</si>
  <si>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</si>
  <si>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</si>
  <si>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</si>
  <si>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</si>
  <si>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</si>
  <si>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</si>
  <si>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</si>
  <si>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</si>
  <si>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</si>
  <si>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</si>
  <si>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</si>
  <si>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</si>
  <si>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</si>
  <si>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</si>
  <si>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</si>
  <si>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</si>
  <si>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</si>
  <si>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</si>
  <si>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</si>
  <si>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</si>
  <si>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</si>
  <si>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</si>
  <si>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</si>
  <si>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</si>
  <si>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</si>
  <si>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</si>
  <si>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</si>
  <si>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</si>
  <si>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</si>
  <si>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</si>
  <si>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</si>
  <si>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</si>
  <si>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</si>
  <si>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</si>
  <si>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</si>
  <si>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</si>
  <si>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</si>
  <si>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</si>
  <si>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</si>
  <si>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</si>
  <si>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</si>
  <si>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</si>
  <si>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</si>
  <si>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</si>
  <si>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</si>
  <si>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</si>
  <si>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</si>
  <si>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</si>
  <si>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</si>
  <si>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</si>
  <si>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</si>
  <si>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</si>
  <si>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</si>
  <si>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</si>
  <si>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</si>
  <si>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</si>
  <si>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</si>
  <si>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</si>
  <si>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</si>
  <si>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</si>
  <si>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</si>
  <si>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</si>
  <si>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</si>
  <si>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</si>
  <si>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</si>
  <si>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</si>
  <si>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</si>
  <si>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</si>
  <si>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</si>
  <si>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</si>
  <si>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</si>
  <si>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</si>
  <si>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</si>
  <si>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</si>
  <si>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</si>
  <si>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</si>
  <si>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</si>
  <si>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</si>
  <si>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</si>
  <si>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</si>
  <si>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</si>
  <si>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</si>
  <si>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</si>
  <si>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</si>
  <si>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</si>
  <si>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</si>
  <si>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</si>
  <si>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</si>
  <si>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</si>
  <si>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</si>
  <si>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</si>
  <si>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</si>
  <si>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</si>
  <si>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</si>
  <si>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</si>
  <si>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</si>
  <si>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</si>
  <si>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</si>
  <si>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</si>
  <si>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</si>
  <si>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</si>
  <si>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</si>
  <si>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</si>
  <si>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</si>
  <si>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</si>
  <si>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</si>
  <si>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</si>
  <si>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</si>
  <si>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</si>
  <si>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</si>
  <si>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</si>
  <si>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</si>
  <si>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</si>
  <si>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</si>
  <si>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</si>
  <si>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</si>
  <si>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</si>
  <si>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</si>
  <si>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</si>
  <si>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</si>
  <si>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</si>
  <si>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</si>
  <si>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</si>
  <si>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</si>
  <si>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</si>
  <si>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</si>
  <si>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</si>
  <si>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</si>
  <si>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</si>
  <si>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</si>
  <si>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</si>
  <si>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</si>
  <si>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</si>
  <si>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</si>
  <si>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</si>
  <si>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</si>
  <si>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</si>
  <si>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</si>
  <si>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</si>
  <si>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</si>
  <si>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</si>
  <si>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</si>
  <si>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</si>
  <si>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</si>
  <si>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</si>
  <si>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</si>
  <si>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</si>
  <si>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</si>
  <si>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Forward P/FCF</t>
  </si>
  <si>
    <t>Unlevered FCF Proj</t>
  </si>
  <si>
    <t>Unlevered FCF Forecast</t>
  </si>
  <si>
    <t>Unlevered FCF</t>
  </si>
  <si>
    <t>Levered FCF</t>
  </si>
  <si>
    <t>Dividend Yield</t>
  </si>
  <si>
    <t>FCF Yield</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</si>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</sst>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9" fontId="14" fillId="0" borderId="5"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8" fillId="7" borderId="8" xfId="0" applyFont="1" applyFill="1" applyBorder="1" applyAlignment="1">
      <alignment horizontal="center" vertical="center" wrapText="1"/>
    </xf>
    <xf numFmtId="0" fontId="8" fillId="7" borderId="6" xfId="0" applyFont="1" applyFill="1" applyBorder="1" applyAlignment="1">
      <alignment horizontal="center" vertical="center" wrapText="1"/>
    </xf>
    <xf numFmtId="9" fontId="14" fillId="0" borderId="9" xfId="0" applyNumberFormat="1" applyFont="1" applyBorder="1" applyAlignment="1">
      <alignment horizontal="center"/>
    </xf>
    <xf numFmtId="9" fontId="14" fillId="0" borderId="7" xfId="0" applyNumberFormat="1" applyFont="1" applyBorder="1" applyAlignment="1">
      <alignment horizontal="center"/>
    </xf>
    <xf numFmtId="164" fontId="1" fillId="0" borderId="8" xfId="0" applyNumberFormat="1" applyFont="1" applyBorder="1" applyAlignment="1">
      <alignment horizontal="center"/>
    </xf>
    <xf numFmtId="37" fontId="10" fillId="0" borderId="0" xfId="0" applyNumberFormat="1" applyFont="1"/>
    <xf numFmtId="0" fontId="8" fillId="7" borderId="9"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0" xfId="0" applyNumberFormat="1" applyFont="1" applyBorder="1" applyAlignment="1">
      <alignment horizontal="center"/>
    </xf>
    <xf numFmtId="164" fontId="9" fillId="0" borderId="2" xfId="0" applyNumberFormat="1" applyFont="1" applyBorder="1"/>
    <xf numFmtId="165" fontId="10" fillId="0" borderId="0" xfId="0" applyNumberFormat="1" applyFont="1"/>
    <xf numFmtId="164" fontId="9" fillId="0" borderId="3" xfId="0" applyNumberFormat="1" applyFont="1" applyBorder="1"/>
    <xf numFmtId="166" fontId="10" fillId="0" borderId="0" xfId="0" applyNumberFormat="1" applyFont="1"/>
    <xf numFmtId="169" fontId="14" fillId="0" borderId="5" xfId="0" applyNumberFormat="1" applyFont="1" applyBorder="1" applyAlignment="1">
      <alignment horizontal="center"/>
    </xf>
    <xf numFmtId="169" fontId="14" fillId="0" borderId="9" xfId="0" applyNumberFormat="1" applyFont="1" applyBorder="1" applyAlignment="1">
      <alignment horizontal="center"/>
    </xf>
    <xf numFmtId="169" fontId="14" fillId="0" borderId="7" xfId="0" applyNumberFormat="1" applyFont="1" applyBorder="1" applyAlignment="1">
      <alignment horizontal="center"/>
    </xf>
    <xf numFmtId="169" fontId="14" fillId="0" borderId="8"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9" fontId="0" fillId="0" borderId="0" xfId="1" applyFont="1"/>
    <xf numFmtId="0" fontId="14" fillId="0" borderId="0" xfId="0" applyFont="1" applyAlignment="1">
      <alignment indent="1"/>
    </xf>
    <xf numFmtId="170" fontId="14" fillId="0" borderId="9" xfId="0" applyNumberFormat="1" applyFont="1" applyBorder="1" applyAlignment="1">
      <alignment horizontal="center"/>
    </xf>
    <xf numFmtId="170" fontId="14" fillId="0" borderId="7" xfId="0" applyNumberFormat="1" applyFont="1" applyBorder="1" applyAlignment="1">
      <alignment horizontal="center"/>
    </xf>
    <xf numFmtId="0" fontId="14" fillId="5" borderId="0" xfId="0" applyFont="1" applyFill="1" applyAlignment="1">
      <alignment horizontal="left" vertical="center" wrapText="1"/>
    </xf>
    <xf numFmtId="164" fontId="14" fillId="5" borderId="0" xfId="0" applyNumberFormat="1" applyFont="1" applyFill="1"/>
    <xf numFmtId="0" fontId="8" fillId="5" borderId="0" xfId="0" applyFont="1" applyFill="1" applyAlignment="1">
      <alignment horizontal="left" vertical="center" wrapText="1"/>
    </xf>
    <xf numFmtId="10" fontId="8" fillId="5" borderId="0" xfId="0" applyNumberFormat="1" applyFont="1" applyFill="1"/>
    <xf numFmtId="10" fontId="14" fillId="5" borderId="0" xfId="0" applyNumberFormat="1" applyFont="1" applyFill="1"/>
    <xf numFmtId="39" fontId="14" fillId="5" borderId="0" xfId="0" applyNumberFormat="1" applyFont="1" applyFill="1"/>
    <xf numFmtId="164" fontId="1" fillId="5" borderId="0" xfId="0" applyNumberFormat="1" applyFont="1" applyFill="1"/>
    <xf numFmtId="164" fontId="8" fillId="5" borderId="0" xfId="0" applyNumberFormat="1" applyFont="1" applyFill="1"/>
    <xf numFmtId="0" fontId="8" fillId="3" borderId="0" xfId="0" applyFont="1" applyFill="1" applyAlignment="1">
      <alignment horizontal="left" vertical="center" wrapText="1"/>
    </xf>
    <xf numFmtId="10" fontId="8"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8" fillId="3" borderId="0" xfId="0" applyNumberFormat="1" applyFont="1" applyFill="1"/>
    <xf numFmtId="167" fontId="1" fillId="5" borderId="0" xfId="0" applyNumberFormat="1" applyFont="1" applyFill="1"/>
    <xf numFmtId="9" fontId="8" fillId="3" borderId="0" xfId="1" applyFont="1" applyFill="1" applyBorder="1"/>
    <xf numFmtId="0" fontId="8" fillId="3" borderId="0" xfId="0" applyFont="1" applyFill="1" applyAlignment="1">
      <alignment horizontal="right"/>
    </xf>
    <xf numFmtId="9" fontId="1" fillId="3" borderId="0" xfId="0" applyNumberFormat="1" applyFont="1" applyFill="1" applyAlignment="1">
      <alignment horizontal="center"/>
    </xf>
    <xf numFmtId="0" fontId="1" fillId="3" borderId="0" xfId="0" applyFont="1" applyFill="1" applyAlignment="1">
      <alignment horizontal="center"/>
    </xf>
    <xf numFmtId="0" fontId="8" fillId="4" borderId="0" xfId="0" applyFont="1" applyFill="1" applyAlignment="1">
      <alignment horizontal="center" vertical="center" wrapText="1"/>
    </xf>
    <xf numFmtId="0" fontId="13" fillId="3" borderId="0" xfId="0" applyFont="1" applyFill="1" applyAlignment="1">
      <alignment horizontal="center"/>
    </xf>
    <xf numFmtId="0" fontId="12" fillId="3"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E008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400"/>
              <a:t>Tesla</a:t>
            </a:r>
            <a:endParaRPr lang="en-US" sz="2800"/>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68477096322222486"/>
        </c:manualLayout>
      </c:layout>
      <c:barChart>
        <c:barDir val="col"/>
        <c:grouping val="cluster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1'!$B$5:$Q$5</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1'!$A$21</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1'!$B$21:$Q$21</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1'!$B$109:$Q$109</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layout>
        <c:manualLayout>
          <c:xMode val="edge"/>
          <c:yMode val="edge"/>
          <c:x val="0.34732358851313938"/>
          <c:y val="0.90066525337810055"/>
          <c:w val="0.32648180449876912"/>
          <c:h val="5.796158024864430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Yearly</a:t>
            </a:r>
            <a:r>
              <a:rPr lang="en-US" baseline="0"/>
              <a:t> </a:t>
            </a:r>
            <a:r>
              <a:rPr lang="en-US"/>
              <a:t>Vehicle Deliveries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661540140798746"/>
          <c:y val="0.13237339543424362"/>
          <c:w val="0.84223706289019606"/>
          <c:h val="0.74600411512260612"/>
        </c:manualLayout>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1'!$G$1:$R$1</c:f>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f>'Sheet 1'!$G$3:$R$3</c:f>
              <c:numCache>
                <c:formatCode>#,##0_);\(#,##0\)</c:formatCode>
                <c:ptCount val="12"/>
                <c:pt idx="0">
                  <c:v>2600</c:v>
                </c:pt>
                <c:pt idx="1">
                  <c:v>22400</c:v>
                </c:pt>
                <c:pt idx="2">
                  <c:v>32000</c:v>
                </c:pt>
                <c:pt idx="3">
                  <c:v>50000</c:v>
                </c:pt>
                <c:pt idx="4">
                  <c:v>76200</c:v>
                </c:pt>
                <c:pt idx="5">
                  <c:v>103100</c:v>
                </c:pt>
                <c:pt idx="6">
                  <c:v>245200</c:v>
                </c:pt>
                <c:pt idx="7">
                  <c:v>367500</c:v>
                </c:pt>
                <c:pt idx="8">
                  <c:v>499550</c:v>
                </c:pt>
                <c:pt idx="9">
                  <c:v>936172</c:v>
                </c:pt>
                <c:pt idx="10">
                  <c:v>1313851</c:v>
                </c:pt>
                <c:pt idx="11">
                  <c:v>1691500</c:v>
                </c:pt>
              </c:numCache>
            </c:numRef>
          </c:val>
          <c:extLst>
            <c:ext xmlns:c16="http://schemas.microsoft.com/office/drawing/2014/chart" uri="{C3380CC4-5D6E-409C-BE32-E72D297353CC}">
              <c16:uniqueId val="{00000001-9C6B-CF4B-9857-3E6CEC2C30BB}"/>
            </c:ext>
          </c:extLst>
        </c:ser>
        <c:dLbls>
          <c:showLegendKey val="0"/>
          <c:showVal val="0"/>
          <c:showCatName val="0"/>
          <c:showSerName val="0"/>
          <c:showPercent val="0"/>
          <c:showBubbleSize val="0"/>
        </c:dLbls>
        <c:gapWidth val="100"/>
        <c:overlap val="-24"/>
        <c:axId val="1669591360"/>
        <c:axId val="1669610000"/>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'Sheet 1'!$G$1:$R$1</c15:sqref>
                        </c15:formulaRef>
                      </c:ext>
                    </c:extLst>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extLst>
                      <c:ext uri="{02D57815-91ED-43cb-92C2-25804820EDAC}">
                        <c15:formulaRef>
                          <c15:sqref>'Sheet 1'!$G$2:$R$2</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9C6B-CF4B-9857-3E6CEC2C30BB}"/>
                  </c:ext>
                </c:extLst>
              </c15:ser>
            </c15:filteredBarSeries>
          </c:ext>
        </c:extLst>
      </c:barChart>
      <c:catAx>
        <c:axId val="166959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610000"/>
        <c:crosses val="autoZero"/>
        <c:auto val="1"/>
        <c:lblAlgn val="ctr"/>
        <c:lblOffset val="100"/>
        <c:noMultiLvlLbl val="0"/>
      </c:catAx>
      <c:valAx>
        <c:axId val="1669610000"/>
        <c:scaling>
          <c:orientation val="minMax"/>
        </c:scaling>
        <c:delete val="0"/>
        <c:axPos val="l"/>
        <c:majorGridlines>
          <c:spPr>
            <a:ln w="9525" cap="flat" cmpd="sng" algn="ctr">
              <a:solidFill>
                <a:schemeClr val="tx2">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59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110</xdr:row>
      <xdr:rowOff>33867</xdr:rowOff>
    </xdr:from>
    <xdr:to>
      <xdr:col>25</xdr:col>
      <xdr:colOff>0</xdr:colOff>
      <xdr:row>129</xdr:row>
      <xdr:rowOff>31751</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1603374</xdr:colOff>
      <xdr:row>129</xdr:row>
      <xdr:rowOff>49212</xdr:rowOff>
    </xdr:from>
    <xdr:to>
      <xdr:col>25</xdr:col>
      <xdr:colOff>31750</xdr:colOff>
      <xdr:row>148</xdr:row>
      <xdr:rowOff>174625</xdr:rowOff>
    </xdr:to>
    <xdr:graphicFrame macro="">
      <xdr:nvGraphicFramePr>
        <xdr:cNvPr id="3" name="Chart 2">
          <a:extLst>
            <a:ext uri="{FF2B5EF4-FFF2-40B4-BE49-F238E27FC236}">
              <a16:creationId xmlns:a16="http://schemas.microsoft.com/office/drawing/2014/main" id="{912910ED-C7C6-09CA-D57D-FC2AF7203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314.66640000000001</v>
    <v>101.81</v>
    <v>2.0783</v>
    <v>-4.82</v>
    <v>-1.7564E-2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277.52</v>
    <v>Automobiles &amp; Auto Parts</v>
    <v>Stock</v>
    <v>45117.999984096874</v>
    <v>0</v>
    <v>265.10000000000002</v>
    <v>854529973440</v>
    <v>TESLA, INC.</v>
    <v>TESLA, INC.</v>
    <v>276.47000000000003</v>
    <v>79.377300000000005</v>
    <v>274.43</v>
    <v>269.61</v>
    <v>3169504000</v>
    <v>TSLA</v>
    <v>TESLA, INC. (XNAS:TSLA)</v>
    <v>300330</v>
    <v>157155809</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36" Type="http://schemas.openxmlformats.org/officeDocument/2006/relationships/drawing" Target="../drawings/drawing1.xm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hyperlink" Target="https://finbox.com/NASDAQGS:TSLA/explorer/fcf_unlev_proj" TargetMode="Externa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80" zoomScaleNormal="80" workbookViewId="0">
      <pane xSplit="1" ySplit="1" topLeftCell="N94" activePane="bottomRight" state="frozen"/>
      <selection pane="topRight"/>
      <selection pane="bottomLeft"/>
      <selection pane="bottomRight" activeCell="AA126" sqref="AA126"/>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19" x14ac:dyDescent="0.25">
      <c r="A3" s="14" t="s">
        <v>153</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31">
        <f>422875*4</f>
        <v>1691500</v>
      </c>
      <c r="S3" s="20"/>
      <c r="T3" s="1"/>
      <c r="U3" s="1"/>
      <c r="V3" s="1"/>
      <c r="W3" s="1"/>
      <c r="X3" s="1"/>
      <c r="Y3" s="1"/>
      <c r="Z3" s="1"/>
    </row>
    <row r="4" spans="1:26" ht="19" x14ac:dyDescent="0.25">
      <c r="A4" s="14" t="s">
        <v>158</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0.28743670324869419</v>
      </c>
      <c r="S4" s="18"/>
      <c r="T4" s="18"/>
      <c r="U4" s="18"/>
      <c r="V4" s="18"/>
      <c r="W4" s="34"/>
      <c r="X4" s="34"/>
      <c r="Y4" s="34"/>
      <c r="Z4" s="34"/>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100500000000</v>
      </c>
      <c r="S5" s="17">
        <v>129100000000</v>
      </c>
      <c r="T5" s="17">
        <v>156800000000</v>
      </c>
      <c r="U5" s="17">
        <v>171500000000</v>
      </c>
      <c r="V5" s="17">
        <v>203200000000</v>
      </c>
      <c r="W5" s="32" t="s">
        <v>99</v>
      </c>
      <c r="X5" s="33" t="s">
        <v>97</v>
      </c>
      <c r="Y5" s="33" t="s">
        <v>98</v>
      </c>
      <c r="Z5" s="33" t="s">
        <v>100</v>
      </c>
    </row>
    <row r="6" spans="1:26" ht="19" x14ac:dyDescent="0.25">
      <c r="A6" s="19" t="s">
        <v>93</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0.23370405833394714</v>
      </c>
      <c r="S6" s="18">
        <f t="shared" ref="S6" si="15">(S5/R5)-1</f>
        <v>0.2845771144278606</v>
      </c>
      <c r="T6" s="18">
        <f t="shared" ref="T6" si="16">(T5/S5)-1</f>
        <v>0.21456235476374896</v>
      </c>
      <c r="U6" s="18">
        <f>(U5/T5)-1</f>
        <v>9.375E-2</v>
      </c>
      <c r="V6" s="18">
        <f t="shared" ref="V6" si="17">(V5/U5)-1</f>
        <v>0.18483965014577253</v>
      </c>
      <c r="W6" s="28">
        <f>(Q6+P6+O6)/3</f>
        <v>0.50111045549806821</v>
      </c>
      <c r="X6" s="28">
        <f>(Q22+P22+O22)/3</f>
        <v>1.0471441765542473</v>
      </c>
      <c r="Y6" s="28">
        <f>(Q31+P31+O31)/3</f>
        <v>2.1577121717940262</v>
      </c>
      <c r="Z6" s="28">
        <f>(Q108+P108+O108)/3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W8" s="26" t="s">
        <v>101</v>
      </c>
      <c r="X8" s="27" t="s">
        <v>102</v>
      </c>
      <c r="Y8" s="27" t="s">
        <v>103</v>
      </c>
      <c r="Z8" s="27" t="s">
        <v>104</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W9" s="28">
        <f>Q9</f>
        <v>0.25600000000000001</v>
      </c>
      <c r="X9" s="29">
        <f>Q23</f>
        <v>0.21640000000000001</v>
      </c>
      <c r="Y9" s="29">
        <f>Q32</f>
        <v>0.15409999999999999</v>
      </c>
      <c r="Z9" s="29">
        <f>Q109/Q5</f>
        <v>9.281628243843755E-2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106</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26" t="s">
        <v>112</v>
      </c>
      <c r="X11" s="27" t="s">
        <v>111</v>
      </c>
      <c r="Y11" s="27" t="s">
        <v>109</v>
      </c>
      <c r="Z11" s="27" t="s">
        <v>110</v>
      </c>
    </row>
    <row r="12" spans="1:26" ht="19" x14ac:dyDescent="0.25">
      <c r="A12" s="5" t="s">
        <v>6</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W12" s="28">
        <f>Q11</f>
        <v>3.7747661486337188E-2</v>
      </c>
      <c r="X12" s="29">
        <f>Q15</f>
        <v>4.8439763325231394E-2</v>
      </c>
      <c r="Y12" s="29">
        <f>Q82</f>
        <v>1.9150033144288134E-2</v>
      </c>
      <c r="Z12" s="29">
        <f>Q91</f>
        <v>8.7930568854189678E-2</v>
      </c>
    </row>
    <row r="13" spans="1:26" ht="19" x14ac:dyDescent="0.25">
      <c r="A13" s="5" t="s">
        <v>7</v>
      </c>
      <c r="B13" s="1" t="s">
        <v>91</v>
      </c>
      <c r="C13" s="1" t="s">
        <v>91</v>
      </c>
      <c r="D13" s="1" t="s">
        <v>91</v>
      </c>
      <c r="E13" s="1" t="s">
        <v>91</v>
      </c>
      <c r="F13" s="1" t="s">
        <v>91</v>
      </c>
      <c r="G13" s="1" t="s">
        <v>91</v>
      </c>
      <c r="H13" s="1" t="s">
        <v>91</v>
      </c>
      <c r="I13" s="1" t="s">
        <v>91</v>
      </c>
      <c r="J13" s="1" t="s">
        <v>91</v>
      </c>
      <c r="K13" s="1" t="s">
        <v>91</v>
      </c>
      <c r="L13" s="1" t="s">
        <v>91</v>
      </c>
      <c r="M13" s="1" t="s">
        <v>91</v>
      </c>
      <c r="N13" s="1" t="s">
        <v>91</v>
      </c>
      <c r="O13" s="1" t="s">
        <v>91</v>
      </c>
      <c r="P13" s="1" t="s">
        <v>91</v>
      </c>
      <c r="Q13" s="1" t="s">
        <v>91</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26" t="s">
        <v>116</v>
      </c>
      <c r="X14" s="27" t="s">
        <v>115</v>
      </c>
      <c r="Y14" s="27" t="s">
        <v>114</v>
      </c>
      <c r="Z14" s="27" t="s">
        <v>113</v>
      </c>
    </row>
    <row r="15" spans="1:26" ht="19" x14ac:dyDescent="0.25">
      <c r="A15" s="19" t="s">
        <v>105</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28">
        <f>Q30/Q74</f>
        <v>0.28086972083035078</v>
      </c>
      <c r="X15" s="29">
        <f>Q30/Q56</f>
        <v>0.1524933809419709</v>
      </c>
      <c r="Y15" s="29">
        <f>Q24/(Q74+Q58+Q63)</f>
        <v>0.28567244733594127</v>
      </c>
      <c r="Z15" s="41">
        <f>Q69/Q74</f>
        <v>0.83269953471725122</v>
      </c>
    </row>
    <row r="16" spans="1:26" ht="19" x14ac:dyDescent="0.25">
      <c r="A16" s="5" t="s">
        <v>9</v>
      </c>
      <c r="B16" s="1" t="s">
        <v>91</v>
      </c>
      <c r="C16" s="1" t="s">
        <v>91</v>
      </c>
      <c r="D16" s="1" t="s">
        <v>91</v>
      </c>
      <c r="E16" s="1" t="s">
        <v>91</v>
      </c>
      <c r="F16" s="1" t="s">
        <v>91</v>
      </c>
      <c r="G16" s="1" t="s">
        <v>91</v>
      </c>
      <c r="H16" s="1" t="s">
        <v>91</v>
      </c>
      <c r="I16" s="1" t="s">
        <v>91</v>
      </c>
      <c r="J16" s="1" t="s">
        <v>91</v>
      </c>
      <c r="K16" s="1" t="s">
        <v>91</v>
      </c>
      <c r="L16" s="1" t="s">
        <v>91</v>
      </c>
      <c r="M16" s="1" t="s">
        <v>91</v>
      </c>
      <c r="N16" s="1" t="s">
        <v>91</v>
      </c>
      <c r="O16" s="1" t="s">
        <v>91</v>
      </c>
      <c r="P16" s="1" t="s">
        <v>91</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26" t="s">
        <v>139</v>
      </c>
      <c r="X17" s="27" t="s">
        <v>154</v>
      </c>
      <c r="Y17" s="27" t="s">
        <v>155</v>
      </c>
      <c r="Z17" s="27" t="s">
        <v>156</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1">
        <f>(Q37+P37+O37+N37+M37)/5</f>
        <v>6.5503438863175154E-2</v>
      </c>
      <c r="X18" s="39">
        <f>Y102/Q5</f>
        <v>10.489921355233115</v>
      </c>
      <c r="Y18" s="39">
        <f>Y102/Q30</f>
        <v>68.057500273972607</v>
      </c>
      <c r="Z18" s="40">
        <f>Y102/Q109</f>
        <v>113.0181157836265</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26" t="s">
        <v>157</v>
      </c>
      <c r="X20" s="27" t="s">
        <v>159</v>
      </c>
      <c r="Y20" s="27" t="s">
        <v>160</v>
      </c>
      <c r="Z20" s="27" t="s">
        <v>161</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35">
        <v>18139000000</v>
      </c>
      <c r="S21" s="35">
        <v>23357000000</v>
      </c>
      <c r="T21" s="35">
        <v>32721000000</v>
      </c>
      <c r="U21" s="35">
        <v>36051000000</v>
      </c>
      <c r="V21" s="35">
        <v>41959000000</v>
      </c>
      <c r="W21" s="30">
        <f>Q42-Q58-Q63</f>
        <v>19086000000</v>
      </c>
      <c r="X21" s="39">
        <f>Y102/R5</f>
        <v>8.5027858053731347</v>
      </c>
      <c r="Y21" s="42">
        <f>Y102/R30</f>
        <v>69.575799824132872</v>
      </c>
      <c r="Z21" s="40">
        <f>Y102/R107</f>
        <v>119.59115413520176</v>
      </c>
    </row>
    <row r="22" spans="1:26" ht="19" x14ac:dyDescent="0.25">
      <c r="A22" s="19" t="s">
        <v>94</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18">
        <f t="shared" ref="R22" si="45">(R21/Q21)-1</f>
        <v>2.9104731646431459E-2</v>
      </c>
      <c r="S22" s="18">
        <f t="shared" ref="S22" si="46">(S21/R21)-1</f>
        <v>0.28766745686090744</v>
      </c>
      <c r="T22" s="18">
        <f t="shared" ref="T22" si="47">(T21/S21)-1</f>
        <v>0.40090765081131985</v>
      </c>
      <c r="U22" s="18">
        <f t="shared" ref="U22" si="48">(U21/T21)-1</f>
        <v>0.10176950582194921</v>
      </c>
      <c r="V22" s="18">
        <f t="shared" ref="V22" si="49">(V21/U21)-1</f>
        <v>0.16387894926631708</v>
      </c>
    </row>
    <row r="23" spans="1:26" ht="20"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36">
        <f>R21/R5</f>
        <v>0.18048756218905473</v>
      </c>
      <c r="S23" s="36">
        <f t="shared" ref="S23:V23" si="50">S21/S5</f>
        <v>0.18092176607281177</v>
      </c>
      <c r="T23" s="36">
        <f t="shared" si="50"/>
        <v>0.2086798469387755</v>
      </c>
      <c r="U23" s="36">
        <f t="shared" si="50"/>
        <v>0.21020991253644314</v>
      </c>
      <c r="V23" s="36">
        <f t="shared" si="50"/>
        <v>0.20649114173228347</v>
      </c>
      <c r="Y23" s="26" t="s">
        <v>166</v>
      </c>
      <c r="Z23" s="27" t="s">
        <v>167</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c r="Y24" s="47">
        <f>Q100/Y102</f>
        <v>0</v>
      </c>
      <c r="Z24" s="48">
        <f>Q109/Y102</f>
        <v>8.8481390179473776E-3</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37">
        <v>12282000000</v>
      </c>
      <c r="S30" s="37">
        <v>16393000000</v>
      </c>
      <c r="T30" s="37">
        <v>21154000000</v>
      </c>
      <c r="U30" s="37">
        <v>23263000000</v>
      </c>
      <c r="V30" s="37">
        <v>23295000000</v>
      </c>
    </row>
    <row r="31" spans="1:26" ht="20" customHeight="1" thickTop="1" x14ac:dyDescent="0.25">
      <c r="A31" s="19" t="s">
        <v>95</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18">
        <f t="shared" ref="R31" si="63">(R30/Q30)-1</f>
        <v>-2.1822236381013105E-2</v>
      </c>
      <c r="S31" s="18">
        <f t="shared" ref="S31" si="64">(S30/R30)-1</f>
        <v>0.33471747272431207</v>
      </c>
      <c r="T31" s="18">
        <f t="shared" ref="T31" si="65">(T30/S30)-1</f>
        <v>0.29042884157872262</v>
      </c>
      <c r="U31" s="18">
        <f t="shared" ref="U31" si="66">(U30/T30)-1</f>
        <v>9.9697456745769131E-2</v>
      </c>
      <c r="V31" s="18">
        <f t="shared" ref="V31" si="67">(V30/U30)-1</f>
        <v>1.375574947341196E-3</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36">
        <f>R30/R5</f>
        <v>0.1222089552238806</v>
      </c>
      <c r="S32" s="36">
        <f t="shared" ref="S32:V32" si="68">S30/S5</f>
        <v>0.12697908597986057</v>
      </c>
      <c r="T32" s="36">
        <f t="shared" si="68"/>
        <v>0.13491071428571427</v>
      </c>
      <c r="U32" s="36">
        <f t="shared" si="68"/>
        <v>0.13564431486880466</v>
      </c>
      <c r="V32" s="36">
        <f t="shared" si="68"/>
        <v>0.11464074803149606</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38">
        <v>3.88</v>
      </c>
      <c r="S33" s="38">
        <v>5.17</v>
      </c>
      <c r="T33" s="38">
        <v>6.67</v>
      </c>
      <c r="U33" s="38">
        <v>7.34</v>
      </c>
      <c r="V33" s="38">
        <v>7.35</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5"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c r="R36" s="45"/>
    </row>
    <row r="37" spans="1:22" ht="19" x14ac:dyDescent="0.25">
      <c r="A37" s="19" t="s">
        <v>138</v>
      </c>
      <c r="B37" s="1"/>
      <c r="C37" s="22">
        <f>(C36-B36)/B36</f>
        <v>0</v>
      </c>
      <c r="D37" s="22">
        <f t="shared" ref="D37:G37" si="69">(D36-C36)/C36</f>
        <v>-0.4301044964424558</v>
      </c>
      <c r="E37" s="22">
        <f t="shared" si="69"/>
        <v>-0.34720316487324726</v>
      </c>
      <c r="F37" s="22">
        <f t="shared" si="69"/>
        <v>0.97934100790677103</v>
      </c>
      <c r="G37" s="22">
        <f t="shared" si="69"/>
        <v>6.9332275712189653E-2</v>
      </c>
      <c r="H37" s="22">
        <f t="shared" ref="H37" si="70">(H36-G36)/G36</f>
        <v>0.11245563535757203</v>
      </c>
      <c r="I37" s="22">
        <f t="shared" ref="I37" si="71">(I36-H36)/H36</f>
        <v>4.3141491027541216E-2</v>
      </c>
      <c r="J37" s="22">
        <f t="shared" ref="J37" si="72">(J36-I36)/I36</f>
        <v>2.9131513249259472E-2</v>
      </c>
      <c r="K37" s="22">
        <f t="shared" ref="K37" si="73">(K36-J36)/J36</f>
        <v>0.12488104709754919</v>
      </c>
      <c r="L37" s="22">
        <f t="shared" ref="L37" si="74">(L36-K36)/K36</f>
        <v>0.14940504257620726</v>
      </c>
      <c r="M37" s="22">
        <f t="shared" ref="M37" si="75">(M36-L36)/L36</f>
        <v>2.8758792939103994E-2</v>
      </c>
      <c r="N37" s="22">
        <f t="shared" ref="N37" si="76">(N36-M36)/M36</f>
        <v>3.7970971998240725E-2</v>
      </c>
      <c r="O37" s="22">
        <f t="shared" ref="O37" si="77">(O36-N36)/N36</f>
        <v>8.4745762711864403E-2</v>
      </c>
      <c r="P37" s="22">
        <f t="shared" ref="P37" si="78">(P36-O36)/O36</f>
        <v>0.17604166666666668</v>
      </c>
      <c r="Q37" s="22">
        <f t="shared" ref="Q37" si="79">(Q36-P36)/P36</f>
        <v>0</v>
      </c>
    </row>
    <row r="38" spans="1:22" ht="22" customHeight="1" x14ac:dyDescent="0.25">
      <c r="A38" s="5" t="s">
        <v>28</v>
      </c>
      <c r="B38" s="13" t="s">
        <v>92</v>
      </c>
      <c r="C38" s="13" t="s">
        <v>92</v>
      </c>
      <c r="D38" s="13" t="s">
        <v>92</v>
      </c>
      <c r="E38" s="13" t="s">
        <v>92</v>
      </c>
      <c r="F38" s="13" t="s">
        <v>92</v>
      </c>
      <c r="G38" s="13" t="s">
        <v>92</v>
      </c>
      <c r="H38" s="13" t="s">
        <v>92</v>
      </c>
      <c r="I38" s="13" t="s">
        <v>92</v>
      </c>
      <c r="J38" s="13" t="s">
        <v>92</v>
      </c>
      <c r="K38" s="13" t="s">
        <v>92</v>
      </c>
      <c r="L38" s="13" t="s">
        <v>92</v>
      </c>
      <c r="M38" s="13" t="s">
        <v>92</v>
      </c>
      <c r="N38" s="13" t="s">
        <v>92</v>
      </c>
      <c r="O38" s="13" t="s">
        <v>92</v>
      </c>
      <c r="P38" s="13" t="s">
        <v>92</v>
      </c>
      <c r="Q38" s="13" t="s">
        <v>92</v>
      </c>
    </row>
    <row r="39" spans="1:22" ht="21" x14ac:dyDescent="0.25">
      <c r="A39" s="4" t="s">
        <v>29</v>
      </c>
      <c r="B39" s="9" t="s">
        <v>90</v>
      </c>
      <c r="C39" s="9" t="s">
        <v>90</v>
      </c>
      <c r="D39" s="9" t="s">
        <v>90</v>
      </c>
      <c r="E39" s="9" t="s">
        <v>90</v>
      </c>
      <c r="F39" s="9" t="s">
        <v>90</v>
      </c>
      <c r="G39" s="9" t="s">
        <v>90</v>
      </c>
      <c r="H39" s="9" t="s">
        <v>90</v>
      </c>
      <c r="I39" s="9" t="s">
        <v>90</v>
      </c>
      <c r="J39" s="9" t="s">
        <v>90</v>
      </c>
      <c r="K39" s="9" t="s">
        <v>90</v>
      </c>
      <c r="L39" s="9" t="s">
        <v>90</v>
      </c>
      <c r="M39" s="9" t="s">
        <v>90</v>
      </c>
      <c r="N39" s="9" t="s">
        <v>90</v>
      </c>
      <c r="O39" s="9" t="s">
        <v>90</v>
      </c>
      <c r="P39" s="9" t="s">
        <v>90</v>
      </c>
      <c r="Q39" s="9" t="s">
        <v>90</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91</v>
      </c>
      <c r="C41" s="1" t="s">
        <v>91</v>
      </c>
      <c r="D41" s="1" t="s">
        <v>91</v>
      </c>
      <c r="E41" s="1" t="s">
        <v>91</v>
      </c>
      <c r="F41" s="1">
        <v>25061000</v>
      </c>
      <c r="G41" s="1" t="s">
        <v>91</v>
      </c>
      <c r="H41" s="1" t="s">
        <v>91</v>
      </c>
      <c r="I41" s="1" t="s">
        <v>91</v>
      </c>
      <c r="J41" s="1" t="s">
        <v>91</v>
      </c>
      <c r="K41" s="1" t="s">
        <v>91</v>
      </c>
      <c r="L41" s="1" t="s">
        <v>91</v>
      </c>
      <c r="M41" s="1" t="s">
        <v>91</v>
      </c>
      <c r="N41" s="1" t="s">
        <v>91</v>
      </c>
      <c r="O41" s="1" t="s">
        <v>91</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91</v>
      </c>
      <c r="C48" s="1" t="s">
        <v>91</v>
      </c>
      <c r="D48" s="1" t="s">
        <v>91</v>
      </c>
      <c r="E48" s="1" t="s">
        <v>91</v>
      </c>
      <c r="F48" s="1" t="s">
        <v>91</v>
      </c>
      <c r="G48" s="1" t="s">
        <v>91</v>
      </c>
      <c r="H48" s="1" t="s">
        <v>91</v>
      </c>
      <c r="I48" s="1" t="s">
        <v>91</v>
      </c>
      <c r="J48" s="1" t="s">
        <v>91</v>
      </c>
      <c r="K48" s="1" t="s">
        <v>91</v>
      </c>
      <c r="L48" s="1">
        <v>60237000</v>
      </c>
      <c r="M48" s="1">
        <v>68159000</v>
      </c>
      <c r="N48" s="1">
        <v>198000000</v>
      </c>
      <c r="O48" s="1">
        <v>207000000</v>
      </c>
      <c r="P48" s="1">
        <v>200000000</v>
      </c>
      <c r="Q48" s="1">
        <v>194000000</v>
      </c>
    </row>
    <row r="49" spans="1:17" ht="19" x14ac:dyDescent="0.25">
      <c r="A49" s="5" t="s">
        <v>39</v>
      </c>
      <c r="B49" s="1" t="s">
        <v>91</v>
      </c>
      <c r="C49" s="1" t="s">
        <v>91</v>
      </c>
      <c r="D49" s="1" t="s">
        <v>91</v>
      </c>
      <c r="E49" s="1" t="s">
        <v>91</v>
      </c>
      <c r="F49" s="1" t="s">
        <v>91</v>
      </c>
      <c r="G49" s="1">
        <v>14267000</v>
      </c>
      <c r="H49" s="1">
        <v>13930000</v>
      </c>
      <c r="I49" s="1" t="s">
        <v>91</v>
      </c>
      <c r="J49" s="1" t="s">
        <v>91</v>
      </c>
      <c r="K49" s="1">
        <v>376145000</v>
      </c>
      <c r="L49" s="1">
        <v>361502000</v>
      </c>
      <c r="M49" s="1">
        <v>282492000</v>
      </c>
      <c r="N49" s="1">
        <v>339000000</v>
      </c>
      <c r="O49" s="1">
        <v>313000000</v>
      </c>
      <c r="P49" s="1">
        <v>1517000000</v>
      </c>
      <c r="Q49" s="1">
        <v>399000000</v>
      </c>
    </row>
    <row r="50" spans="1:17" ht="19" x14ac:dyDescent="0.25">
      <c r="A50" s="5" t="s">
        <v>40</v>
      </c>
      <c r="B50" s="1" t="s">
        <v>91</v>
      </c>
      <c r="C50" s="1" t="s">
        <v>91</v>
      </c>
      <c r="D50" s="1" t="s">
        <v>91</v>
      </c>
      <c r="E50" s="1" t="s">
        <v>91</v>
      </c>
      <c r="F50" s="1" t="s">
        <v>91</v>
      </c>
      <c r="G50" s="1">
        <v>14267000</v>
      </c>
      <c r="H50" s="1">
        <v>13930000</v>
      </c>
      <c r="I50" s="1" t="s">
        <v>91</v>
      </c>
      <c r="J50" s="1" t="s">
        <v>91</v>
      </c>
      <c r="K50" s="1">
        <v>376145000</v>
      </c>
      <c r="L50" s="1">
        <v>421739000</v>
      </c>
      <c r="M50" s="1">
        <v>350651000</v>
      </c>
      <c r="N50" s="1">
        <v>537000000</v>
      </c>
      <c r="O50" s="1">
        <v>520000000</v>
      </c>
      <c r="P50" s="1">
        <v>1717000000</v>
      </c>
      <c r="Q50" s="1">
        <v>593000000</v>
      </c>
    </row>
    <row r="51" spans="1:17" ht="19" x14ac:dyDescent="0.25">
      <c r="A51" s="5" t="s">
        <v>41</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row>
    <row r="52" spans="1:17" ht="19" x14ac:dyDescent="0.25">
      <c r="A52" s="5" t="s">
        <v>42</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91</v>
      </c>
      <c r="C55" s="1" t="s">
        <v>91</v>
      </c>
      <c r="D55" s="1" t="s">
        <v>91</v>
      </c>
      <c r="E55" s="1" t="s">
        <v>91</v>
      </c>
      <c r="F55" s="1" t="s">
        <v>91</v>
      </c>
      <c r="G55" s="1">
        <v>1000</v>
      </c>
      <c r="H55" s="1" t="s">
        <v>91</v>
      </c>
      <c r="I55" s="1" t="s">
        <v>91</v>
      </c>
      <c r="J55" s="1" t="s">
        <v>91</v>
      </c>
      <c r="K55" s="1" t="s">
        <v>91</v>
      </c>
      <c r="L55" s="1" t="s">
        <v>91</v>
      </c>
      <c r="M55" s="1" t="s">
        <v>91</v>
      </c>
      <c r="N55" s="1" t="s">
        <v>91</v>
      </c>
      <c r="O55" s="1" t="s">
        <v>91</v>
      </c>
      <c r="P55" s="1" t="s">
        <v>91</v>
      </c>
      <c r="Q55" s="1" t="s">
        <v>91</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91</v>
      </c>
      <c r="C59" s="1" t="s">
        <v>91</v>
      </c>
      <c r="D59" s="1" t="s">
        <v>91</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91</v>
      </c>
    </row>
    <row r="60" spans="1:17" ht="19" x14ac:dyDescent="0.25">
      <c r="A60" s="5" t="s">
        <v>50</v>
      </c>
      <c r="B60" s="1" t="s">
        <v>91</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91</v>
      </c>
      <c r="C64" s="1" t="s">
        <v>91</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91</v>
      </c>
      <c r="C65" s="1" t="s">
        <v>91</v>
      </c>
      <c r="D65" s="1" t="s">
        <v>91</v>
      </c>
      <c r="E65" s="1" t="s">
        <v>91</v>
      </c>
      <c r="F65" s="1" t="s">
        <v>91</v>
      </c>
      <c r="G65" s="1" t="s">
        <v>91</v>
      </c>
      <c r="H65" s="1">
        <v>6821000</v>
      </c>
      <c r="I65" s="1" t="s">
        <v>91</v>
      </c>
      <c r="J65" s="1" t="s">
        <v>91</v>
      </c>
      <c r="K65" s="1" t="s">
        <v>91</v>
      </c>
      <c r="L65" s="1" t="s">
        <v>91</v>
      </c>
      <c r="M65" s="1" t="s">
        <v>91</v>
      </c>
      <c r="N65" s="1" t="s">
        <v>91</v>
      </c>
      <c r="O65" s="1">
        <v>151000000</v>
      </c>
      <c r="P65" s="1">
        <v>24000000</v>
      </c>
      <c r="Q65" s="1" t="s">
        <v>91</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91</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91</v>
      </c>
      <c r="C72" s="1" t="s">
        <v>91</v>
      </c>
      <c r="D72" s="1" t="s">
        <v>91</v>
      </c>
      <c r="E72" s="1" t="s">
        <v>91</v>
      </c>
      <c r="F72" s="1">
        <v>-3000</v>
      </c>
      <c r="G72" s="1" t="s">
        <v>91</v>
      </c>
      <c r="H72" s="1" t="s">
        <v>91</v>
      </c>
      <c r="I72" s="1" t="s">
        <v>91</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92</v>
      </c>
      <c r="C76" s="13" t="s">
        <v>92</v>
      </c>
      <c r="D76" s="13" t="s">
        <v>92</v>
      </c>
      <c r="E76" s="13" t="s">
        <v>92</v>
      </c>
      <c r="F76" s="13" t="s">
        <v>92</v>
      </c>
      <c r="G76" s="13" t="s">
        <v>92</v>
      </c>
      <c r="H76" s="13" t="s">
        <v>92</v>
      </c>
      <c r="I76" s="13" t="s">
        <v>92</v>
      </c>
      <c r="J76" s="13" t="s">
        <v>92</v>
      </c>
      <c r="K76" s="13" t="s">
        <v>92</v>
      </c>
      <c r="L76" s="13" t="s">
        <v>92</v>
      </c>
      <c r="M76" s="13" t="s">
        <v>92</v>
      </c>
      <c r="N76" s="13" t="s">
        <v>92</v>
      </c>
      <c r="O76" s="13" t="s">
        <v>92</v>
      </c>
      <c r="P76" s="13" t="s">
        <v>92</v>
      </c>
      <c r="Q76" s="13" t="s">
        <v>92</v>
      </c>
    </row>
    <row r="77" spans="1:17" ht="21" x14ac:dyDescent="0.25">
      <c r="A77" s="4" t="s">
        <v>65</v>
      </c>
      <c r="B77" s="9" t="s">
        <v>90</v>
      </c>
      <c r="C77" s="9" t="s">
        <v>90</v>
      </c>
      <c r="D77" s="9" t="s">
        <v>90</v>
      </c>
      <c r="E77" s="9" t="s">
        <v>90</v>
      </c>
      <c r="F77" s="9" t="s">
        <v>90</v>
      </c>
      <c r="G77" s="9" t="s">
        <v>90</v>
      </c>
      <c r="H77" s="9" t="s">
        <v>90</v>
      </c>
      <c r="I77" s="9" t="s">
        <v>90</v>
      </c>
      <c r="J77" s="9" t="s">
        <v>90</v>
      </c>
      <c r="K77" s="9" t="s">
        <v>90</v>
      </c>
      <c r="L77" s="9" t="s">
        <v>90</v>
      </c>
      <c r="M77" s="9" t="s">
        <v>90</v>
      </c>
      <c r="N77" s="9" t="s">
        <v>90</v>
      </c>
      <c r="O77" s="9" t="s">
        <v>90</v>
      </c>
      <c r="P77" s="9" t="s">
        <v>90</v>
      </c>
      <c r="Q77" s="9" t="s">
        <v>90</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t="s">
        <v>91</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107</v>
      </c>
      <c r="B82" s="15">
        <f>B81/B5</f>
        <v>2.7123287671232879</v>
      </c>
      <c r="C82" s="15">
        <f>C81/C5</f>
        <v>2.9643196309862976E-2</v>
      </c>
      <c r="D82" s="15">
        <f t="shared" ref="D82:Q82" si="80">D81/D5</f>
        <v>1.2810090849807491E-2</v>
      </c>
      <c r="E82" s="15">
        <f t="shared" si="80"/>
        <v>0.1812170218597958</v>
      </c>
      <c r="F82" s="15">
        <f t="shared" si="80"/>
        <v>0.14403991343602196</v>
      </c>
      <c r="G82" s="15">
        <f t="shared" si="80"/>
        <v>0.12134125094372496</v>
      </c>
      <c r="H82" s="15">
        <f t="shared" si="80"/>
        <v>4.0097919240961989E-2</v>
      </c>
      <c r="I82" s="15">
        <f t="shared" si="80"/>
        <v>4.8930137858324715E-2</v>
      </c>
      <c r="J82" s="15">
        <f t="shared" si="80"/>
        <v>4.8936672413047375E-2</v>
      </c>
      <c r="K82" s="15">
        <f t="shared" si="80"/>
        <v>4.7745528227182005E-2</v>
      </c>
      <c r="L82" s="15">
        <f t="shared" si="80"/>
        <v>3.9694692063808476E-2</v>
      </c>
      <c r="M82" s="15">
        <f t="shared" si="80"/>
        <v>3.4901199686803219E-2</v>
      </c>
      <c r="N82" s="15">
        <f t="shared" si="80"/>
        <v>3.6536740174139472E-2</v>
      </c>
      <c r="O82" s="15">
        <f t="shared" si="80"/>
        <v>5.498477929984779E-2</v>
      </c>
      <c r="P82" s="15">
        <f t="shared" si="80"/>
        <v>3.9406944986344131E-2</v>
      </c>
      <c r="Q82" s="15">
        <f t="shared" si="80"/>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21"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c r="X84" s="73" t="s">
        <v>125</v>
      </c>
      <c r="Y84" s="74"/>
    </row>
    <row r="85" spans="1:25" ht="19"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X85" s="72" t="s">
        <v>117</v>
      </c>
      <c r="Y85" s="72"/>
    </row>
    <row r="86" spans="1:25" ht="20" x14ac:dyDescent="0.25">
      <c r="A86" s="5" t="s">
        <v>47</v>
      </c>
      <c r="B86" s="1">
        <v>523000</v>
      </c>
      <c r="C86" s="1">
        <v>8815000</v>
      </c>
      <c r="D86" s="1">
        <v>902000</v>
      </c>
      <c r="E86" s="1">
        <v>-212000</v>
      </c>
      <c r="F86" s="1">
        <v>31859000</v>
      </c>
      <c r="G86" s="1">
        <v>187821000</v>
      </c>
      <c r="H86" s="1">
        <v>-243000</v>
      </c>
      <c r="I86" s="1">
        <v>252781000</v>
      </c>
      <c r="J86" s="1" t="s">
        <v>91</v>
      </c>
      <c r="K86" s="1" t="s">
        <v>91</v>
      </c>
      <c r="L86" s="1" t="s">
        <v>91</v>
      </c>
      <c r="M86" s="1" t="s">
        <v>91</v>
      </c>
      <c r="N86" s="1" t="s">
        <v>91</v>
      </c>
      <c r="O86" s="1" t="s">
        <v>91</v>
      </c>
      <c r="P86" s="1" t="s">
        <v>91</v>
      </c>
      <c r="Q86" s="1" t="s">
        <v>91</v>
      </c>
      <c r="X86" s="49" t="s">
        <v>118</v>
      </c>
      <c r="Y86" s="50">
        <f>Q19</f>
        <v>191000000</v>
      </c>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91</v>
      </c>
      <c r="X87" s="49" t="s">
        <v>119</v>
      </c>
      <c r="Y87" s="50">
        <f>Q58</f>
        <v>1502000000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91</v>
      </c>
      <c r="X88" s="49" t="s">
        <v>120</v>
      </c>
      <c r="Y88" s="50">
        <f>Q63</f>
        <v>1597000000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X89" s="51" t="s">
        <v>121</v>
      </c>
      <c r="Y89" s="52">
        <f>Y86/(Y87+Y88)</f>
        <v>6.1632784769280413E-2</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X90" s="49" t="s">
        <v>122</v>
      </c>
      <c r="Y90" s="50">
        <f>Q29</f>
        <v>1132000000</v>
      </c>
    </row>
    <row r="91" spans="1:25" ht="20" customHeight="1" x14ac:dyDescent="0.25">
      <c r="A91" s="19" t="s">
        <v>108</v>
      </c>
      <c r="B91" s="15">
        <f>(-1*B90)/B5</f>
        <v>134.27397260273972</v>
      </c>
      <c r="C91" s="15">
        <f t="shared" ref="C91:Q91" si="81">(-1*C90)/C5</f>
        <v>0.65323565323565325</v>
      </c>
      <c r="D91" s="15">
        <f t="shared" si="81"/>
        <v>0.10616117131039904</v>
      </c>
      <c r="E91" s="15">
        <f t="shared" si="81"/>
        <v>0.34436887548824779</v>
      </c>
      <c r="F91" s="15">
        <f t="shared" si="81"/>
        <v>0.96892901557955757</v>
      </c>
      <c r="G91" s="15">
        <f t="shared" si="81"/>
        <v>0.57888572700698837</v>
      </c>
      <c r="H91" s="15">
        <f t="shared" si="81"/>
        <v>0.13122648368807288</v>
      </c>
      <c r="I91" s="15">
        <f t="shared" si="81"/>
        <v>0.303244854544022</v>
      </c>
      <c r="J91" s="15">
        <f t="shared" si="81"/>
        <v>0.4040632472612008</v>
      </c>
      <c r="K91" s="15">
        <f t="shared" si="81"/>
        <v>0.2057776910492545</v>
      </c>
      <c r="L91" s="15">
        <f t="shared" si="81"/>
        <v>0.34709077520223025</v>
      </c>
      <c r="M91" s="15">
        <f t="shared" si="81"/>
        <v>0.10807916848156408</v>
      </c>
      <c r="N91" s="15">
        <f t="shared" si="81"/>
        <v>5.8263487671901704E-2</v>
      </c>
      <c r="O91" s="15">
        <f t="shared" si="81"/>
        <v>0.10248604769152714</v>
      </c>
      <c r="P91" s="15">
        <f t="shared" si="81"/>
        <v>0.12102632703491073</v>
      </c>
      <c r="Q91" s="15">
        <f t="shared" si="81"/>
        <v>8.7930568854189678E-2</v>
      </c>
      <c r="X91" s="49" t="s">
        <v>19</v>
      </c>
      <c r="Y91" s="50">
        <f>Q27</f>
        <v>13719000000</v>
      </c>
    </row>
    <row r="92" spans="1:25" ht="20" x14ac:dyDescent="0.25">
      <c r="A92" s="5" t="s">
        <v>75</v>
      </c>
      <c r="B92" s="1" t="s">
        <v>91</v>
      </c>
      <c r="C92" s="1" t="s">
        <v>91</v>
      </c>
      <c r="D92" s="1" t="s">
        <v>91</v>
      </c>
      <c r="E92" s="1" t="s">
        <v>91</v>
      </c>
      <c r="F92" s="1" t="s">
        <v>91</v>
      </c>
      <c r="G92" s="1" t="s">
        <v>91</v>
      </c>
      <c r="H92" s="1" t="s">
        <v>91</v>
      </c>
      <c r="I92" s="1" t="s">
        <v>91</v>
      </c>
      <c r="J92" s="1">
        <v>-12260000</v>
      </c>
      <c r="K92" s="1">
        <v>213523000</v>
      </c>
      <c r="L92" s="1">
        <v>-114523000</v>
      </c>
      <c r="M92" s="1">
        <v>-17912000</v>
      </c>
      <c r="N92" s="1">
        <v>-45000000</v>
      </c>
      <c r="O92" s="1">
        <v>-13000000</v>
      </c>
      <c r="P92" s="1" t="s">
        <v>91</v>
      </c>
      <c r="Q92" s="1" t="s">
        <v>91</v>
      </c>
      <c r="X92" s="51" t="s">
        <v>123</v>
      </c>
      <c r="Y92" s="52">
        <f>Y90/Y91</f>
        <v>8.2513302718857054E-2</v>
      </c>
    </row>
    <row r="93" spans="1:25" ht="20" x14ac:dyDescent="0.25">
      <c r="A93" s="5" t="s">
        <v>76</v>
      </c>
      <c r="B93" s="1" t="s">
        <v>91</v>
      </c>
      <c r="C93" s="1" t="s">
        <v>91</v>
      </c>
      <c r="D93" s="1" t="s">
        <v>91</v>
      </c>
      <c r="E93" s="1" t="s">
        <v>91</v>
      </c>
      <c r="F93" s="1">
        <v>-64952000</v>
      </c>
      <c r="G93" s="1">
        <v>-14992000</v>
      </c>
      <c r="H93" s="1" t="s">
        <v>91</v>
      </c>
      <c r="I93" s="1">
        <v>-205841000</v>
      </c>
      <c r="J93" s="1" t="s">
        <v>91</v>
      </c>
      <c r="K93" s="1" t="s">
        <v>91</v>
      </c>
      <c r="L93" s="1" t="s">
        <v>91</v>
      </c>
      <c r="M93" s="1" t="s">
        <v>91</v>
      </c>
      <c r="N93" s="1" t="s">
        <v>91</v>
      </c>
      <c r="O93" s="1" t="s">
        <v>91</v>
      </c>
      <c r="P93" s="1">
        <v>-132000000</v>
      </c>
      <c r="Q93" s="1">
        <v>-5835000000</v>
      </c>
      <c r="X93" s="51" t="s">
        <v>124</v>
      </c>
      <c r="Y93" s="52">
        <f>Y89*(1-Y92)</f>
        <v>5.6547260142206617E-2</v>
      </c>
    </row>
    <row r="94" spans="1:25" ht="19" customHeight="1" x14ac:dyDescent="0.25">
      <c r="A94" s="5" t="s">
        <v>77</v>
      </c>
      <c r="B94" s="1" t="s">
        <v>91</v>
      </c>
      <c r="C94" s="1" t="s">
        <v>91</v>
      </c>
      <c r="D94" s="1" t="s">
        <v>91</v>
      </c>
      <c r="E94" s="1" t="s">
        <v>91</v>
      </c>
      <c r="F94" s="1">
        <v>40000000</v>
      </c>
      <c r="G94" s="1">
        <v>40000000</v>
      </c>
      <c r="H94" s="1" t="s">
        <v>91</v>
      </c>
      <c r="I94" s="1">
        <v>189131000</v>
      </c>
      <c r="J94" s="1" t="s">
        <v>91</v>
      </c>
      <c r="K94" s="1">
        <v>16667000</v>
      </c>
      <c r="L94" s="1" t="s">
        <v>91</v>
      </c>
      <c r="M94" s="1" t="s">
        <v>91</v>
      </c>
      <c r="N94" s="1" t="s">
        <v>91</v>
      </c>
      <c r="O94" s="1" t="s">
        <v>91</v>
      </c>
      <c r="P94" s="1" t="s">
        <v>91</v>
      </c>
      <c r="Q94" s="1">
        <v>22000000</v>
      </c>
      <c r="X94" s="72" t="s">
        <v>126</v>
      </c>
      <c r="Y94" s="72"/>
    </row>
    <row r="95" spans="1:25" ht="20"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91</v>
      </c>
      <c r="N95" s="1">
        <v>41000000</v>
      </c>
      <c r="O95" s="1">
        <v>113000000</v>
      </c>
      <c r="P95" s="1">
        <v>-1222000000</v>
      </c>
      <c r="Q95" s="1">
        <v>1003000000</v>
      </c>
      <c r="X95" s="49" t="s">
        <v>127</v>
      </c>
      <c r="Y95" s="53">
        <f>[1]Treasuries!$C$8</f>
        <v>4.0480000000000002E-2</v>
      </c>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X96" s="49" t="s">
        <v>128</v>
      </c>
      <c r="Y96" s="54" cm="1">
        <f t="array" ref="Y96">_FV(A1,"Beta")</f>
        <v>2.0783</v>
      </c>
    </row>
    <row r="97" spans="1:25" ht="20" x14ac:dyDescent="0.25">
      <c r="A97" s="5" t="s">
        <v>80</v>
      </c>
      <c r="B97" s="1" t="s">
        <v>91</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X97" s="49" t="s">
        <v>129</v>
      </c>
      <c r="Y97" s="53">
        <v>8.4000000000000005E-2</v>
      </c>
    </row>
    <row r="98" spans="1:25" ht="20" x14ac:dyDescent="0.25">
      <c r="A98" s="5" t="s">
        <v>81</v>
      </c>
      <c r="B98" s="1" t="s">
        <v>91</v>
      </c>
      <c r="C98" s="1">
        <v>21000</v>
      </c>
      <c r="D98" s="1" t="s">
        <v>91</v>
      </c>
      <c r="E98" s="1">
        <v>268842000</v>
      </c>
      <c r="F98" s="1">
        <v>231468000</v>
      </c>
      <c r="G98" s="1">
        <v>221496000</v>
      </c>
      <c r="H98" s="1">
        <v>415000000</v>
      </c>
      <c r="I98" s="1" t="s">
        <v>91</v>
      </c>
      <c r="J98" s="1">
        <v>750000000</v>
      </c>
      <c r="K98" s="1">
        <v>1701734000</v>
      </c>
      <c r="L98" s="1">
        <v>400175000</v>
      </c>
      <c r="M98" s="1" t="s">
        <v>91</v>
      </c>
      <c r="N98" s="1">
        <v>848000000</v>
      </c>
      <c r="O98" s="1">
        <v>12269000000</v>
      </c>
      <c r="P98" s="1" t="s">
        <v>91</v>
      </c>
      <c r="Q98" s="1" t="s">
        <v>91</v>
      </c>
      <c r="X98" s="51" t="s">
        <v>130</v>
      </c>
      <c r="Y98" s="52">
        <f>(Y95)+((Y96)*(Y97-Y95))</f>
        <v>0.13092761600000002</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72" t="s">
        <v>137</v>
      </c>
      <c r="Y99" s="72"/>
    </row>
    <row r="100" spans="1:25" ht="20"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X100" s="49" t="s">
        <v>131</v>
      </c>
      <c r="Y100" s="50">
        <f>Y87+Y88</f>
        <v>3099000000</v>
      </c>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X101" s="51" t="s">
        <v>134</v>
      </c>
      <c r="Y101" s="52">
        <f>Y100/Y104</f>
        <v>3.6134506831896427E-3</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X102" s="49" t="s">
        <v>132</v>
      </c>
      <c r="Y102" s="55" cm="1">
        <f t="array" ref="Y102">+_FV(A1,"Market cap",TRUE)</f>
        <v>854529973440</v>
      </c>
    </row>
    <row r="103" spans="1:25" ht="20" x14ac:dyDescent="0.25">
      <c r="A103" s="5" t="s">
        <v>86</v>
      </c>
      <c r="B103" s="1" t="s">
        <v>91</v>
      </c>
      <c r="C103" s="1" t="s">
        <v>91</v>
      </c>
      <c r="D103" s="1" t="s">
        <v>91</v>
      </c>
      <c r="E103" s="1" t="s">
        <v>91</v>
      </c>
      <c r="F103" s="1" t="s">
        <v>91</v>
      </c>
      <c r="G103" s="1" t="s">
        <v>91</v>
      </c>
      <c r="H103" s="1" t="s">
        <v>91</v>
      </c>
      <c r="I103" s="1">
        <v>-35525000</v>
      </c>
      <c r="J103" s="1">
        <v>-34278000</v>
      </c>
      <c r="K103" s="1">
        <v>-7409000</v>
      </c>
      <c r="L103" s="1">
        <v>39455000</v>
      </c>
      <c r="M103" s="1">
        <v>-22700000</v>
      </c>
      <c r="N103" s="1">
        <v>8000000</v>
      </c>
      <c r="O103" s="1">
        <v>334000000</v>
      </c>
      <c r="P103" s="1">
        <v>-183000000</v>
      </c>
      <c r="Q103" s="1">
        <v>-444000000</v>
      </c>
      <c r="X103" s="51" t="s">
        <v>135</v>
      </c>
      <c r="Y103" s="52">
        <f>Y102/Y104</f>
        <v>0.99638654931681037</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X104" s="51" t="s">
        <v>133</v>
      </c>
      <c r="Y104" s="56">
        <f>Y100+Y102</f>
        <v>857628973440</v>
      </c>
    </row>
    <row r="105" spans="1:25" ht="19"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X105" s="72" t="s">
        <v>136</v>
      </c>
      <c r="Y105" s="72"/>
    </row>
    <row r="106" spans="1:25" ht="2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X106" s="57" t="s">
        <v>125</v>
      </c>
      <c r="Y106" s="58">
        <f>(Y101*Y93)+(Y103*Y98)</f>
        <v>0.13065884625230978</v>
      </c>
    </row>
    <row r="107" spans="1:25" ht="20" thickTop="1" x14ac:dyDescent="0.25">
      <c r="A107" s="19" t="s">
        <v>164</v>
      </c>
      <c r="B107" s="1">
        <f t="shared" ref="B107:P107" si="82">(B24*(1-$Y$92))+B79+B90+B83</f>
        <v>-61034464.173773602</v>
      </c>
      <c r="C107" s="1">
        <f t="shared" si="82"/>
        <v>-56970375.683358848</v>
      </c>
      <c r="D107" s="1">
        <f t="shared" si="82"/>
        <v>-90101807.128799468</v>
      </c>
      <c r="E107" s="1">
        <f t="shared" si="82"/>
        <v>-175476911.65536848</v>
      </c>
      <c r="F107" s="1">
        <f t="shared" si="82"/>
        <v>-322816894.52584004</v>
      </c>
      <c r="G107" s="1">
        <f t="shared" si="82"/>
        <v>-529333407.46410084</v>
      </c>
      <c r="H107" s="1">
        <f t="shared" si="82"/>
        <v>-89372337.269480288</v>
      </c>
      <c r="I107" s="1">
        <f t="shared" si="82"/>
        <v>-1166063674.0287194</v>
      </c>
      <c r="J107" s="1">
        <f t="shared" si="82"/>
        <v>-2363046574.3858881</v>
      </c>
      <c r="K107" s="1">
        <f t="shared" si="82"/>
        <v>-1799508572.5635979</v>
      </c>
      <c r="L107" s="1">
        <f t="shared" si="82"/>
        <v>-4439371193.8187914</v>
      </c>
      <c r="M107" s="1">
        <f t="shared" si="82"/>
        <v>-592492336.54056406</v>
      </c>
      <c r="N107" s="1">
        <f t="shared" si="82"/>
        <v>446398935.78249121</v>
      </c>
      <c r="O107" s="1">
        <f t="shared" si="82"/>
        <v>1103468474.3785992</v>
      </c>
      <c r="P107" s="1">
        <f t="shared" si="82"/>
        <v>2874993585.5383034</v>
      </c>
      <c r="Q107" s="1">
        <f>(Q24*(1-$Y$92))+Q79+Q90+Q83</f>
        <v>5943198338.0712891</v>
      </c>
      <c r="R107" s="23">
        <f>Q107*(1+$Y$108)</f>
        <v>7145427934.1925707</v>
      </c>
      <c r="S107" s="23">
        <f t="shared" ref="S107:V107" si="83">R107*(1+$Y$108)</f>
        <v>8590852510.4529457</v>
      </c>
      <c r="T107" s="23">
        <f t="shared" si="83"/>
        <v>10328667161.163574</v>
      </c>
      <c r="U107" s="23">
        <f t="shared" si="83"/>
        <v>12418018490.74861</v>
      </c>
      <c r="V107" s="23">
        <f t="shared" si="83"/>
        <v>14930017671.244448</v>
      </c>
      <c r="W107" s="24" t="s">
        <v>162</v>
      </c>
      <c r="X107" s="70" t="s">
        <v>140</v>
      </c>
      <c r="Y107" s="70"/>
    </row>
    <row r="108" spans="1:25" ht="19" x14ac:dyDescent="0.25">
      <c r="A108" s="19" t="s">
        <v>96</v>
      </c>
      <c r="B108" s="1"/>
      <c r="C108" s="15">
        <f t="shared" ref="C108:Q108" si="84">(C109/B109)-1</f>
        <v>-1.9424380837982591E-2</v>
      </c>
      <c r="D108" s="15">
        <f t="shared" si="84"/>
        <v>0.49429418780825896</v>
      </c>
      <c r="E108" s="15">
        <f t="shared" si="84"/>
        <v>0.81233752925821667</v>
      </c>
      <c r="F108" s="15">
        <f t="shared" si="84"/>
        <v>0.85846922985358876</v>
      </c>
      <c r="G108" s="15">
        <f t="shared" si="84"/>
        <v>0.61823160187023629</v>
      </c>
      <c r="H108" s="15">
        <f t="shared" si="84"/>
        <v>-0.98767091027470322</v>
      </c>
      <c r="I108" s="15">
        <f t="shared" si="84"/>
        <v>163.88314606741574</v>
      </c>
      <c r="J108" s="15">
        <f t="shared" si="84"/>
        <v>1.1021249544889029</v>
      </c>
      <c r="K108" s="15">
        <f t="shared" si="84"/>
        <v>-0.27556870149290369</v>
      </c>
      <c r="L108" s="15">
        <f t="shared" si="84"/>
        <v>1.6478348142939332</v>
      </c>
      <c r="M108" s="15">
        <f t="shared" si="84"/>
        <v>-0.94647185616251828</v>
      </c>
      <c r="N108" s="15">
        <f t="shared" si="84"/>
        <v>-5.3659850077126388</v>
      </c>
      <c r="O108" s="15">
        <f t="shared" si="84"/>
        <v>1.790289256198347</v>
      </c>
      <c r="P108" s="15">
        <f t="shared" si="84"/>
        <v>0.28952239911144018</v>
      </c>
      <c r="Q108" s="15">
        <f t="shared" si="84"/>
        <v>1.1708297444731555</v>
      </c>
      <c r="R108" s="43">
        <v>9915000000</v>
      </c>
      <c r="S108" s="43">
        <v>16378000000</v>
      </c>
      <c r="T108" s="43">
        <v>22579000000</v>
      </c>
      <c r="U108" s="43">
        <v>24607000000</v>
      </c>
      <c r="V108" s="43">
        <v>29974000000</v>
      </c>
      <c r="W108" s="24" t="s">
        <v>163</v>
      </c>
      <c r="X108" s="59" t="s">
        <v>141</v>
      </c>
      <c r="Y108" s="60">
        <f>(SUM(R6:V6)/5)</f>
        <v>0.20228663553426585</v>
      </c>
    </row>
    <row r="109" spans="1:25" ht="20" customHeight="1" x14ac:dyDescent="0.25">
      <c r="A109" s="46" t="s">
        <v>165</v>
      </c>
      <c r="B109" s="1">
        <v>-63271000</v>
      </c>
      <c r="C109" s="1">
        <v>-62042000</v>
      </c>
      <c r="D109" s="1">
        <v>-92709000</v>
      </c>
      <c r="E109" s="1">
        <v>-168020000</v>
      </c>
      <c r="F109" s="1">
        <v>-312260000</v>
      </c>
      <c r="G109" s="1">
        <v>-505309000</v>
      </c>
      <c r="H109" s="1">
        <v>-6230000</v>
      </c>
      <c r="I109" s="1">
        <v>-1027222000</v>
      </c>
      <c r="J109" s="1">
        <v>-2159349000</v>
      </c>
      <c r="K109" s="1">
        <v>-1564300000</v>
      </c>
      <c r="L109" s="1">
        <v>-4142008000</v>
      </c>
      <c r="M109" s="1">
        <v>-221714000</v>
      </c>
      <c r="N109" s="1">
        <v>968000000</v>
      </c>
      <c r="O109" s="1">
        <v>2701000000</v>
      </c>
      <c r="P109" s="1">
        <v>3483000000</v>
      </c>
      <c r="Q109" s="1">
        <v>7561000000</v>
      </c>
      <c r="R109" s="24"/>
      <c r="S109" s="24"/>
      <c r="T109" s="24"/>
      <c r="U109" s="24"/>
      <c r="V109" s="44">
        <f>V108*(1+Y109)/(Y110-Y109)</f>
        <v>290778776124.75214</v>
      </c>
      <c r="W109" s="25" t="s">
        <v>142</v>
      </c>
      <c r="X109" s="61" t="s">
        <v>143</v>
      </c>
      <c r="Y109" s="62">
        <v>2.5000000000000001E-2</v>
      </c>
    </row>
    <row r="110" spans="1:25" ht="19" x14ac:dyDescent="0.25">
      <c r="R110" s="44">
        <f t="shared" ref="R110:U110" si="85">R109+R108</f>
        <v>9915000000</v>
      </c>
      <c r="S110" s="44">
        <f t="shared" si="85"/>
        <v>16378000000</v>
      </c>
      <c r="T110" s="44">
        <f t="shared" si="85"/>
        <v>22579000000</v>
      </c>
      <c r="U110" s="44">
        <f t="shared" si="85"/>
        <v>24607000000</v>
      </c>
      <c r="V110" s="44">
        <f>V109+V108</f>
        <v>320752776124.75214</v>
      </c>
      <c r="W110" s="25" t="s">
        <v>133</v>
      </c>
      <c r="X110" s="63" t="s">
        <v>144</v>
      </c>
      <c r="Y110" s="60">
        <f>Y106</f>
        <v>0.13065884625230978</v>
      </c>
    </row>
    <row r="111" spans="1:25" ht="19" x14ac:dyDescent="0.25">
      <c r="R111" s="71" t="s">
        <v>145</v>
      </c>
      <c r="S111" s="71"/>
    </row>
    <row r="112" spans="1:25" ht="20" x14ac:dyDescent="0.25">
      <c r="R112" s="64" t="s">
        <v>146</v>
      </c>
      <c r="S112" s="55">
        <f>NPV(Y110,R110,S110,T110,U110,V110)</f>
        <v>225843605901.07419</v>
      </c>
    </row>
    <row r="113" spans="18:19" ht="20" x14ac:dyDescent="0.25">
      <c r="R113" s="64" t="s">
        <v>147</v>
      </c>
      <c r="S113" s="55">
        <f>Q42</f>
        <v>22185000000</v>
      </c>
    </row>
    <row r="114" spans="18:19" ht="20" x14ac:dyDescent="0.25">
      <c r="R114" s="64" t="s">
        <v>131</v>
      </c>
      <c r="S114" s="55">
        <f>Y100</f>
        <v>3099000000</v>
      </c>
    </row>
    <row r="115" spans="18:19" ht="20" x14ac:dyDescent="0.25">
      <c r="R115" s="64" t="s">
        <v>148</v>
      </c>
      <c r="S115" s="55">
        <f>S112+S113-S114</f>
        <v>244929605901.07419</v>
      </c>
    </row>
    <row r="116" spans="18:19" ht="20" customHeight="1" x14ac:dyDescent="0.25">
      <c r="R116" s="64" t="s">
        <v>168</v>
      </c>
      <c r="S116" s="64">
        <f>Q36*(1+(0.05*5))</f>
        <v>4233750000</v>
      </c>
    </row>
    <row r="117" spans="18:19" ht="20" x14ac:dyDescent="0.25">
      <c r="R117" s="65" t="s">
        <v>149</v>
      </c>
      <c r="S117" s="66">
        <f>S115/S116</f>
        <v>57.851693156439133</v>
      </c>
    </row>
    <row r="118" spans="18:19" ht="20" x14ac:dyDescent="0.25">
      <c r="R118" s="64" t="s">
        <v>150</v>
      </c>
      <c r="S118" s="67" cm="1">
        <f t="array" ref="S118">_FV(A1,"Price",TRUE)</f>
        <v>269.61</v>
      </c>
    </row>
    <row r="119" spans="18:19" ht="20" x14ac:dyDescent="0.25">
      <c r="R119" s="65" t="s">
        <v>151</v>
      </c>
      <c r="S119" s="68">
        <f>S117/S118-1</f>
        <v>-0.78542452744171531</v>
      </c>
    </row>
    <row r="120" spans="18:19" ht="20" x14ac:dyDescent="0.25">
      <c r="R120" s="65" t="s">
        <v>152</v>
      </c>
      <c r="S120" s="69" t="str">
        <f>IF(S117&gt;S118,"BUY","SELL")</f>
        <v>SELL</v>
      </c>
    </row>
  </sheetData>
  <mergeCells count="7">
    <mergeCell ref="X107:Y107"/>
    <mergeCell ref="R111:S111"/>
    <mergeCell ref="X85:Y85"/>
    <mergeCell ref="X84:Y84"/>
    <mergeCell ref="X94:Y94"/>
    <mergeCell ref="X99:Y99"/>
    <mergeCell ref="X105:Y105"/>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 ref="W108" r:id="rId35" xr:uid="{C0A1206A-10FC-EC4B-91A2-F3B2C8D0D845}"/>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2023-01-31T20:40:31Z</dcterms:created>
  <dcterms:modified xsi:type="dcterms:W3CDTF">2023-07-11T10:24:03Z</dcterms:modified>
</cp:coreProperties>
</file>