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externalLinks/externalLink1.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richData/rdrichvalue.xml" ContentType="application/vnd.ms-excel.rdrichvalue+xml"/>
  <Override PartName="/xl/richData/rdrichvaluestructure.xml" ContentType="application/vnd.ms-excel.rdrichvaluestructure+xml"/>
  <Override PartName="/xl/richData/richStyles.xml" ContentType="application/vnd.ms-excel.richstyles+xml"/>
  <Override PartName="/xl/richData/rdsupportingpropertybagstructure.xml" ContentType="application/vnd.ms-excel.rdsupportingpropertybagstructure+xml"/>
  <Override PartName="/xl/richData/rdsupportingpropertybag.xml" ContentType="application/vnd.ms-excel.rdsupportingpropertybag+xml"/>
  <Override PartName="/xl/richData/rdRichValueTypes.xml" ContentType="application/vnd.ms-excel.rdrichvaluetypes+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611"/>
  <workbookPr defaultThemeVersion="166925"/>
  <mc:AlternateContent xmlns:mc="http://schemas.openxmlformats.org/markup-compatibility/2006">
    <mc:Choice Requires="x15">
      <x15ac:absPath xmlns:x15ac="http://schemas.microsoft.com/office/spreadsheetml/2010/11/ac" url="/Users/bina/Documents/financial-modeling/Technology/Software/"/>
    </mc:Choice>
  </mc:AlternateContent>
  <xr:revisionPtr revIDLastSave="0" documentId="13_ncr:1_{FD914A59-401F-5C43-933E-F123C8DE94DC}" xr6:coauthVersionLast="47" xr6:coauthVersionMax="47" xr10:uidLastSave="{00000000-0000-0000-0000-000000000000}"/>
  <bookViews>
    <workbookView xWindow="0" yWindow="500" windowWidth="28800" windowHeight="17500" xr2:uid="{00000000-000D-0000-FFFF-FFFF00000000}"/>
  </bookViews>
  <sheets>
    <sheet name="Sheet 1" sheetId="1" r:id="rId1"/>
  </sheets>
  <externalReferences>
    <externalReference r:id="rId2"/>
  </externalReferenc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R94" i="1" l="1"/>
  <c r="K108" i="1"/>
  <c r="L108" i="1"/>
  <c r="M108" i="1"/>
  <c r="N108" i="1"/>
  <c r="L105" i="1"/>
  <c r="M105" i="1" s="1"/>
  <c r="N105" i="1" s="1"/>
  <c r="O105" i="1" s="1"/>
  <c r="K105" i="1"/>
  <c r="B105" i="1"/>
  <c r="C105" i="1"/>
  <c r="D105" i="1"/>
  <c r="E105" i="1"/>
  <c r="F105" i="1"/>
  <c r="G105" i="1"/>
  <c r="H105" i="1"/>
  <c r="I105" i="1"/>
  <c r="J105" i="1"/>
  <c r="K29" i="1"/>
  <c r="L29" i="1"/>
  <c r="M29" i="1"/>
  <c r="N29" i="1"/>
  <c r="O29" i="1"/>
  <c r="K30" i="1"/>
  <c r="L30" i="1"/>
  <c r="M30" i="1"/>
  <c r="N30" i="1"/>
  <c r="O30" i="1"/>
  <c r="K20" i="1"/>
  <c r="L20" i="1"/>
  <c r="M20" i="1"/>
  <c r="N20" i="1"/>
  <c r="O20" i="1"/>
  <c r="K21" i="1"/>
  <c r="L21" i="1"/>
  <c r="M21" i="1"/>
  <c r="N21" i="1"/>
  <c r="O21" i="1"/>
  <c r="L116" i="1" a="1"/>
  <c r="L116" i="1" s="1"/>
  <c r="R101" i="1" a="1"/>
  <c r="R101" i="1" s="1"/>
  <c r="R95" i="1" a="1"/>
  <c r="R95" i="1" s="1"/>
  <c r="L111" i="1"/>
  <c r="R90" i="1"/>
  <c r="R89" i="1"/>
  <c r="R91" i="1" s="1"/>
  <c r="R87" i="1"/>
  <c r="R86" i="1"/>
  <c r="R99" i="1" s="1"/>
  <c r="R85" i="1"/>
  <c r="R88" i="1" s="1"/>
  <c r="R92" i="1" s="1"/>
  <c r="P19" i="1"/>
  <c r="P16" i="1"/>
  <c r="L114" i="1" s="1"/>
  <c r="S13" i="1"/>
  <c r="R13" i="1"/>
  <c r="Q13" i="1"/>
  <c r="P13" i="1"/>
  <c r="S10" i="1"/>
  <c r="R10" i="1"/>
  <c r="Q10" i="1"/>
  <c r="P10" i="1"/>
  <c r="S7" i="1"/>
  <c r="R7" i="1"/>
  <c r="Q7" i="1"/>
  <c r="P7" i="1"/>
  <c r="R4" i="1"/>
  <c r="Q4" i="1"/>
  <c r="P4" i="1"/>
  <c r="O4" i="1"/>
  <c r="N4" i="1"/>
  <c r="M4" i="1"/>
  <c r="L4" i="1"/>
  <c r="K4" i="1"/>
  <c r="J77" i="1"/>
  <c r="J76" i="1"/>
  <c r="J73" i="1"/>
  <c r="J67" i="1"/>
  <c r="J65" i="1"/>
  <c r="J30" i="1"/>
  <c r="J26" i="1"/>
  <c r="J25" i="1"/>
  <c r="J23" i="1"/>
  <c r="J21" i="1"/>
  <c r="J7" i="1"/>
  <c r="J6" i="1"/>
  <c r="R19" i="1" l="1"/>
  <c r="S22" i="1"/>
  <c r="R22" i="1"/>
  <c r="R97" i="1"/>
  <c r="S19" i="1"/>
  <c r="Q19" i="1"/>
  <c r="R106" i="1"/>
  <c r="S16" i="1"/>
  <c r="Q16" i="1"/>
  <c r="R16" i="1"/>
  <c r="R103" i="1"/>
  <c r="R100" i="1" s="1"/>
  <c r="L112" i="1"/>
  <c r="R102" i="1" l="1"/>
  <c r="R105" i="1" s="1"/>
  <c r="R108" i="1" s="1"/>
  <c r="O107" i="1" s="1"/>
  <c r="O108" i="1" s="1"/>
  <c r="J106" i="1" l="1"/>
  <c r="I106" i="1"/>
  <c r="H106" i="1"/>
  <c r="G106" i="1"/>
  <c r="F106" i="1"/>
  <c r="E106" i="1"/>
  <c r="D106" i="1"/>
  <c r="C106" i="1"/>
  <c r="J89" i="1"/>
  <c r="I89" i="1"/>
  <c r="H89" i="1"/>
  <c r="G89" i="1"/>
  <c r="F89" i="1"/>
  <c r="E89" i="1"/>
  <c r="D89" i="1"/>
  <c r="C89" i="1"/>
  <c r="B89" i="1"/>
  <c r="J80" i="1"/>
  <c r="I80" i="1"/>
  <c r="H80" i="1"/>
  <c r="G80" i="1"/>
  <c r="F80" i="1"/>
  <c r="E80" i="1"/>
  <c r="D80" i="1"/>
  <c r="C80" i="1"/>
  <c r="B80" i="1"/>
  <c r="J35" i="1"/>
  <c r="I35" i="1"/>
  <c r="H35" i="1"/>
  <c r="G35" i="1"/>
  <c r="F35" i="1"/>
  <c r="E35" i="1"/>
  <c r="D35" i="1"/>
  <c r="C35" i="1"/>
  <c r="J29" i="1"/>
  <c r="I29" i="1"/>
  <c r="H29" i="1"/>
  <c r="G29" i="1"/>
  <c r="F29" i="1"/>
  <c r="E29" i="1"/>
  <c r="D29" i="1"/>
  <c r="C29" i="1"/>
  <c r="J20" i="1"/>
  <c r="I20" i="1"/>
  <c r="H20" i="1"/>
  <c r="G20" i="1"/>
  <c r="F20" i="1"/>
  <c r="E20" i="1"/>
  <c r="D20" i="1"/>
  <c r="C20" i="1"/>
  <c r="J13" i="1"/>
  <c r="I13" i="1"/>
  <c r="H13" i="1"/>
  <c r="G13" i="1"/>
  <c r="F13" i="1"/>
  <c r="E13" i="1"/>
  <c r="D13" i="1"/>
  <c r="C13" i="1"/>
  <c r="B13" i="1"/>
  <c r="J9" i="1"/>
  <c r="I9" i="1"/>
  <c r="H9" i="1"/>
  <c r="G9" i="1"/>
  <c r="F9" i="1"/>
  <c r="E9" i="1"/>
  <c r="D9" i="1"/>
  <c r="C9" i="1"/>
  <c r="B9" i="1"/>
  <c r="J4" i="1"/>
  <c r="I4" i="1"/>
  <c r="H4" i="1"/>
  <c r="G4" i="1"/>
  <c r="F4" i="1"/>
  <c r="E4" i="1"/>
  <c r="D4" i="1"/>
  <c r="C4" i="1"/>
  <c r="S4" i="1" l="1"/>
  <c r="L110" i="1" l="1"/>
  <c r="L113" i="1" s="1"/>
  <c r="L115" i="1" s="1"/>
  <c r="L117" i="1" s="1"/>
  <c r="L118" i="1" l="1"/>
</calcChain>
</file>

<file path=xl/metadata.xml><?xml version="1.0" encoding="utf-8"?>
<metadata xmlns="http://schemas.openxmlformats.org/spreadsheetml/2006/main" xmlns:xlrd="http://schemas.microsoft.com/office/spreadsheetml/2017/richdata" xmlns:xda="http://schemas.microsoft.com/office/spreadsheetml/2017/dynamicarray">
  <metadataTypes count="2">
    <metadataType name="XLDAPR" minSupportedVersion="120000" copy="1" pasteAll="1" pasteValues="1" merge="1" splitFirst="1" rowColShift="1" clearFormats="1" clearComments="1" assign="1" coerce="1" cellMeta="1"/>
    <metadataType name="XLRICHVALUE" minSupportedVersion="120000" copy="1" pasteAll="1" pasteValues="1" merge="1" splitFirst="1" rowColShift="1" clearFormats="1" clearComments="1" assign="1" coerce="1"/>
  </metadataTypes>
  <futureMetadata name="XLDAPR" count="1">
    <bk>
      <extLst>
        <ext uri="{bdbb8cdc-fa1e-496e-a857-3c3f30c029c3}">
          <xda:dynamicArrayProperties fDynamic="1" fCollapsed="0"/>
        </ext>
      </extLst>
    </bk>
  </futureMetadata>
  <futureMetadata name="XLRICHVALUE" count="1">
    <bk>
      <extLst>
        <ext uri="{3e2802c4-a4d2-4d8b-9148-e3be6c30e623}">
          <xlrd:rvb i="2"/>
        </ext>
      </extLst>
    </bk>
  </futureMetadata>
  <cellMetadata count="1">
    <bk>
      <rc t="1" v="0"/>
    </bk>
  </cellMetadata>
  <valueMetadata count="1">
    <bk>
      <rc t="2" v="0"/>
    </bk>
  </valueMetadata>
</metadata>
</file>

<file path=xl/sharedStrings.xml><?xml version="1.0" encoding="utf-8"?>
<sst xmlns="http://schemas.openxmlformats.org/spreadsheetml/2006/main" count="397" uniqueCount="167">
  <si>
    <t>INCOME STATEMENT (in mln.)</t>
  </si>
  <si>
    <t>Revenue</t>
  </si>
  <si>
    <t>COGS</t>
  </si>
  <si>
    <t>Gross Profit</t>
  </si>
  <si>
    <t>Gross Profit ratio</t>
  </si>
  <si>
    <t>Research and Development Exp.</t>
  </si>
  <si>
    <t>General and Administrative Exp.</t>
  </si>
  <si>
    <t>Selling and Marketing Exp.</t>
  </si>
  <si>
    <t>Selling, General and Administrative Exp.</t>
  </si>
  <si>
    <t>Other Expenses</t>
  </si>
  <si>
    <t>Operating Expenses</t>
  </si>
  <si>
    <t>COGS and Expenses</t>
  </si>
  <si>
    <t>Interest Expenese</t>
  </si>
  <si>
    <t>Depreciation and Amortization</t>
  </si>
  <si>
    <t>EBITDA</t>
  </si>
  <si>
    <t>EBITDA ratio</t>
  </si>
  <si>
    <t>Operating Income</t>
  </si>
  <si>
    <t>Operating Income ratio</t>
  </si>
  <si>
    <t>Total Other Income Expenses Net</t>
  </si>
  <si>
    <t>Income Before Tax</t>
  </si>
  <si>
    <t>Income Before Tax ratio</t>
  </si>
  <si>
    <t>Income Tax expense</t>
  </si>
  <si>
    <t>Net Income</t>
  </si>
  <si>
    <t>Net Income ratio</t>
  </si>
  <si>
    <t>EPS</t>
  </si>
  <si>
    <t>EPS Diluted</t>
  </si>
  <si>
    <t>Weighted Average Shares Outstanding</t>
  </si>
  <si>
    <t>Weighted Average Shares Outstanding Diluted</t>
  </si>
  <si>
    <t>SEC Link</t>
  </si>
  <si>
    <t>BALANCE SHEET (in mln.)</t>
  </si>
  <si>
    <t>Cash and Cash Equivalents</t>
  </si>
  <si>
    <t>Short-Term Investments</t>
  </si>
  <si>
    <t>Cash and Short-Term Investments</t>
  </si>
  <si>
    <t>Net Receivables</t>
  </si>
  <si>
    <t>Inventory</t>
  </si>
  <si>
    <t>Other Current Assets</t>
  </si>
  <si>
    <t>Total Current Assets</t>
  </si>
  <si>
    <t>PP&amp;E</t>
  </si>
  <si>
    <t>Goodwill</t>
  </si>
  <si>
    <t>Intangible Assets</t>
  </si>
  <si>
    <t>Goodwill and Intangible Assets</t>
  </si>
  <si>
    <t>Investments</t>
  </si>
  <si>
    <t>Tax Assets</t>
  </si>
  <si>
    <t>Other Non-Current Assets</t>
  </si>
  <si>
    <t>Total Non-Current Assets</t>
  </si>
  <si>
    <t>Other Assets</t>
  </si>
  <si>
    <t>Total Assets</t>
  </si>
  <si>
    <t>Accounts Payable</t>
  </si>
  <si>
    <t>Short-Term Debt</t>
  </si>
  <si>
    <t>Tax Payable</t>
  </si>
  <si>
    <t>Deferred Revenue</t>
  </si>
  <si>
    <t>Other Current Liabilities</t>
  </si>
  <si>
    <t>Total Current Liabilities</t>
  </si>
  <si>
    <t>Long-Term Debt</t>
  </si>
  <si>
    <t>Deferred Tax Liabilities</t>
  </si>
  <si>
    <t>Other Non-Current Liabilities</t>
  </si>
  <si>
    <t>Total Non-Current Liabilities</t>
  </si>
  <si>
    <t>Other Liabilities</t>
  </si>
  <si>
    <t>Total Liabilities</t>
  </si>
  <si>
    <t>Common Stock</t>
  </si>
  <si>
    <t>Retained Earnings</t>
  </si>
  <si>
    <t>Other Comprehensive Income/Loss</t>
  </si>
  <si>
    <t>Other Total Stockholders Equity</t>
  </si>
  <si>
    <t>Total Stockholders Equity</t>
  </si>
  <si>
    <t>Total Liabilities And Stockholders Equity</t>
  </si>
  <si>
    <t>CASH FLOW STATEMENT (in mln.)</t>
  </si>
  <si>
    <t>Net Income</t>
  </si>
  <si>
    <t>Deferred Income Tax</t>
  </si>
  <si>
    <t>Stock Based Compensation</t>
  </si>
  <si>
    <t>Change in Working Capital</t>
  </si>
  <si>
    <t>Accounts Receivable</t>
  </si>
  <si>
    <t>Other Working Capital</t>
  </si>
  <si>
    <t>Other Non-Cash Items</t>
  </si>
  <si>
    <t>Cash Provided by Operating Activities</t>
  </si>
  <si>
    <t>CAPEX</t>
  </si>
  <si>
    <t>Acquisitions Net</t>
  </si>
  <si>
    <t>Purchases of Investments</t>
  </si>
  <si>
    <t>Sales/Maturities of Investments</t>
  </si>
  <si>
    <t>Other Investing Activites</t>
  </si>
  <si>
    <t>Cash Used for Investing Activites</t>
  </si>
  <si>
    <t>Debt Repayment</t>
  </si>
  <si>
    <t>Common Stock Issued</t>
  </si>
  <si>
    <t>Common Stock Repurchased</t>
  </si>
  <si>
    <t>Dividends Paid</t>
  </si>
  <si>
    <t>Other Financing Activites</t>
  </si>
  <si>
    <t>Cash Used/Provided by Financing Activities</t>
  </si>
  <si>
    <t>Effect of Forex Changes on Cash</t>
  </si>
  <si>
    <t>Net Change In Cash</t>
  </si>
  <si>
    <t>Cash at the Beginning of Period</t>
  </si>
  <si>
    <t>Cash at the End of Period</t>
  </si>
  <si>
    <t/>
  </si>
  <si>
    <t>- -</t>
  </si>
  <si>
    <t>link</t>
  </si>
  <si>
    <t>Revenue Growth YoY</t>
  </si>
  <si>
    <t>R&amp;D as % of Revenue</t>
  </si>
  <si>
    <t>R&amp;D % of Rev</t>
  </si>
  <si>
    <t>SG&amp;A % of Rev</t>
  </si>
  <si>
    <t>SBC % of Revenue</t>
  </si>
  <si>
    <t>CAPEX % of Rev</t>
  </si>
  <si>
    <t>SG&amp;A as % of Revenue</t>
  </si>
  <si>
    <t>EBITDA Growth YoY</t>
  </si>
  <si>
    <t>Net Income Growth YoY</t>
  </si>
  <si>
    <t>Share Dilution YoY</t>
  </si>
  <si>
    <t>SBC as % of Revenue</t>
  </si>
  <si>
    <t>CAPEX as % of Revenue</t>
  </si>
  <si>
    <t>Income Tax Expense</t>
  </si>
  <si>
    <t>WACC</t>
  </si>
  <si>
    <t>3yr Rev Growth</t>
  </si>
  <si>
    <t>3yr EBITDA Growth</t>
  </si>
  <si>
    <t>3yr Net Income Growth</t>
  </si>
  <si>
    <t>3yr FCF Growth</t>
  </si>
  <si>
    <t>Gross Profit Margin</t>
  </si>
  <si>
    <t>EBITDA Margin</t>
  </si>
  <si>
    <t>Net Income Margin</t>
  </si>
  <si>
    <t>FCF Margin</t>
  </si>
  <si>
    <t>ROE</t>
  </si>
  <si>
    <t>ROA</t>
  </si>
  <si>
    <t>ROIC</t>
  </si>
  <si>
    <t>Debt to Equity</t>
  </si>
  <si>
    <t>Share Dilution (5yr)</t>
  </si>
  <si>
    <t>P/S</t>
  </si>
  <si>
    <t>P/E</t>
  </si>
  <si>
    <t>P/FCF</t>
  </si>
  <si>
    <t>Net Cash</t>
  </si>
  <si>
    <t>Weighted Average Cost of Capital</t>
  </si>
  <si>
    <t>Cost of Debt Calculation</t>
  </si>
  <si>
    <t>Interest Expense</t>
  </si>
  <si>
    <t>Short Term Debt</t>
  </si>
  <si>
    <t>Long Term Debt</t>
  </si>
  <si>
    <t>Cost of Debt</t>
  </si>
  <si>
    <t>Effective Tax Rate</t>
  </si>
  <si>
    <t>Cost of Debt*(1-t)</t>
  </si>
  <si>
    <t>Cost of Equity Calculation</t>
  </si>
  <si>
    <t>Risk Free Rate</t>
  </si>
  <si>
    <t>Beta</t>
  </si>
  <si>
    <t>Market Return</t>
  </si>
  <si>
    <t>Cost of Equity</t>
  </si>
  <si>
    <t>Weight of Debt + Equity Calculation</t>
  </si>
  <si>
    <t>Total Debt</t>
  </si>
  <si>
    <t>Weight of Debt</t>
  </si>
  <si>
    <t>Market Cap</t>
  </si>
  <si>
    <t>Weight of Equity</t>
  </si>
  <si>
    <t>Total</t>
  </si>
  <si>
    <t>WACC Calculation</t>
  </si>
  <si>
    <t>FCF Growth Rate</t>
  </si>
  <si>
    <t>Terminal Value</t>
  </si>
  <si>
    <t>Perpetual Growth Rate</t>
  </si>
  <si>
    <t>Discount Rate (WACC)</t>
  </si>
  <si>
    <t>Discounted Cash Flow Valuation</t>
  </si>
  <si>
    <t>Enterprise Value</t>
  </si>
  <si>
    <t>Cash + Securities</t>
  </si>
  <si>
    <t>Equity Value</t>
  </si>
  <si>
    <t>Shares</t>
  </si>
  <si>
    <t>Intrinsic Value</t>
  </si>
  <si>
    <t>Current Price</t>
  </si>
  <si>
    <t>Upside/Downside</t>
  </si>
  <si>
    <t>Buy/Sell</t>
  </si>
  <si>
    <t>Forward P/S</t>
  </si>
  <si>
    <t>Forward P/E</t>
  </si>
  <si>
    <t>Forward P/FCF</t>
  </si>
  <si>
    <t>Unlevered FCF</t>
  </si>
  <si>
    <t>Levered FCF Growth YoY</t>
  </si>
  <si>
    <t>Levered FCF</t>
  </si>
  <si>
    <t>Unlevered FCF Proj</t>
  </si>
  <si>
    <t>Unlevered FCF Forecast</t>
  </si>
  <si>
    <t>Dividend Yield</t>
  </si>
  <si>
    <t>FCF Yield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</si>
</sst>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6">
    <numFmt numFmtId="164" formatCode="#,###,,;\(#,###,,\);\ \-\ \-"/>
    <numFmt numFmtId="165" formatCode="#.00%;\ \-#.00%;\ \-\ \-"/>
    <numFmt numFmtId="166" formatCode="#,##0.00_);\(#,##0.00\);\-\ \-"/>
    <numFmt numFmtId="167" formatCode="&quot;$&quot;#,##0.00"/>
    <numFmt numFmtId="168" formatCode="0.0"/>
    <numFmt numFmtId="169" formatCode="0.0%"/>
  </numFmts>
  <fonts count="17" x14ac:knownFonts="1">
    <font>
      <sz val="12"/>
      <color rgb="FF000000"/>
      <name val="Calibri"/>
      <family val="1"/>
    </font>
    <font>
      <sz val="14"/>
      <color rgb="FF000000"/>
      <name val="Calibri"/>
      <family val="1"/>
    </font>
    <font>
      <i/>
      <sz val="14"/>
      <color rgb="FF000000"/>
      <name val="Calibri"/>
      <family val="1"/>
    </font>
    <font>
      <b/>
      <u/>
      <sz val="16"/>
      <color rgb="FF000000"/>
      <name val="Calibri"/>
      <family val="1"/>
    </font>
    <font>
      <b/>
      <sz val="16"/>
      <color rgb="FF000000"/>
      <name val="Calibri"/>
      <family val="1"/>
    </font>
    <font>
      <sz val="14"/>
      <color rgb="FF000000"/>
      <name val="Calibri"/>
      <family val="1"/>
    </font>
    <font>
      <b/>
      <sz val="14"/>
      <color rgb="FF000000"/>
      <name val="Calibri"/>
      <family val="1"/>
    </font>
    <font>
      <u/>
      <sz val="14"/>
      <color rgb="FFAEAEAE"/>
      <name val="Calibri"/>
      <family val="1"/>
    </font>
    <font>
      <sz val="12"/>
      <color rgb="FF000000"/>
      <name val="Calibri"/>
      <family val="1"/>
    </font>
    <font>
      <u/>
      <sz val="14"/>
      <color rgb="FF000000"/>
      <name val="Calibri"/>
      <family val="1"/>
    </font>
    <font>
      <i/>
      <sz val="14"/>
      <color rgb="FF000000"/>
      <name val="Calibri"/>
      <family val="2"/>
    </font>
    <font>
      <sz val="14"/>
      <color rgb="FF000000"/>
      <name val="Calibri"/>
      <family val="2"/>
    </font>
    <font>
      <b/>
      <sz val="14"/>
      <color rgb="FF000000"/>
      <name val="Calibri"/>
      <family val="2"/>
    </font>
    <font>
      <b/>
      <i/>
      <sz val="14"/>
      <color rgb="FF000000"/>
      <name val="Calibri"/>
      <family val="2"/>
    </font>
    <font>
      <b/>
      <sz val="16"/>
      <color rgb="FF000000"/>
      <name val="Calibri"/>
      <family val="2"/>
    </font>
    <font>
      <b/>
      <u/>
      <sz val="16"/>
      <color rgb="FF000000"/>
      <name val="Calibri"/>
      <family val="2"/>
    </font>
    <font>
      <sz val="12"/>
      <color rgb="FF000000"/>
      <name val="Calibri"/>
      <family val="2"/>
    </font>
  </fonts>
  <fills count="8">
    <fill>
      <patternFill patternType="none"/>
    </fill>
    <fill>
      <patternFill patternType="gray125"/>
    </fill>
    <fill>
      <patternFill patternType="solid">
        <fgColor rgb="FFEEEEEE"/>
      </patternFill>
    </fill>
    <fill>
      <patternFill patternType="solid">
        <fgColor rgb="FFB4C6E7"/>
        <bgColor rgb="FF000000"/>
      </patternFill>
    </fill>
    <fill>
      <patternFill patternType="solid">
        <fgColor theme="0" tint="-0.14999847407452621"/>
        <bgColor indexed="64"/>
      </patternFill>
    </fill>
    <fill>
      <patternFill patternType="solid">
        <fgColor theme="4" tint="0.59999389629810485"/>
        <bgColor indexed="64"/>
      </patternFill>
    </fill>
    <fill>
      <patternFill patternType="solid">
        <fgColor theme="2"/>
        <bgColor indexed="64"/>
      </patternFill>
    </fill>
    <fill>
      <patternFill patternType="solid">
        <fgColor theme="5" tint="0.59999389629810485"/>
        <bgColor indexed="64"/>
      </patternFill>
    </fill>
  </fills>
  <borders count="11">
    <border>
      <left/>
      <right/>
      <top/>
      <bottom/>
      <diagonal/>
    </border>
    <border>
      <left/>
      <right style="medium">
        <color rgb="FF000000"/>
      </right>
      <top/>
      <bottom style="medium">
        <color rgb="FF000000"/>
      </bottom>
      <diagonal/>
    </border>
    <border>
      <left/>
      <right/>
      <top style="thin">
        <color rgb="FF000000"/>
      </top>
      <bottom/>
      <diagonal/>
    </border>
    <border>
      <left/>
      <right/>
      <top style="thin">
        <color rgb="FF000000"/>
      </top>
      <bottom style="double">
        <color rgb="FF000000"/>
      </bottom>
      <diagonal/>
    </border>
    <border>
      <left/>
      <right/>
      <top/>
      <bottom style="medium">
        <color rgb="FF000000"/>
      </bottom>
      <diagonal/>
    </border>
    <border>
      <left style="thin">
        <color indexed="64"/>
      </left>
      <right style="thin">
        <color indexed="64"/>
      </right>
      <top/>
      <bottom style="thin">
        <color indexed="64"/>
      </bottom>
      <diagonal/>
    </border>
    <border>
      <left style="thin">
        <color indexed="64"/>
      </left>
      <right style="thin">
        <color indexed="64"/>
      </right>
      <top style="thin">
        <color indexed="64"/>
      </top>
      <bottom style="thin">
        <color indexed="64"/>
      </bottom>
      <diagonal/>
    </border>
    <border>
      <left/>
      <right style="thin">
        <color indexed="64"/>
      </right>
      <top style="thin">
        <color indexed="64"/>
      </top>
      <bottom style="thin">
        <color indexed="64"/>
      </bottom>
      <diagonal/>
    </border>
    <border>
      <left/>
      <right style="thin">
        <color indexed="64"/>
      </right>
      <top/>
      <bottom style="thin">
        <color indexed="64"/>
      </bottom>
      <diagonal/>
    </border>
    <border>
      <left style="thin">
        <color indexed="64"/>
      </left>
      <right/>
      <top/>
      <bottom style="thin">
        <color indexed="64"/>
      </bottom>
      <diagonal/>
    </border>
    <border>
      <left/>
      <right/>
      <top/>
      <bottom style="thin">
        <color indexed="64"/>
      </bottom>
      <diagonal/>
    </border>
  </borders>
  <cellStyleXfs count="2">
    <xf numFmtId="0" fontId="0" fillId="0" borderId="0"/>
    <xf numFmtId="9" fontId="8" fillId="0" borderId="0" applyFont="0" applyFill="0" applyBorder="0" applyAlignment="0" applyProtection="0"/>
  </cellStyleXfs>
  <cellXfs count="69">
    <xf numFmtId="0" fontId="0" fillId="0" borderId="0" xfId="0"/>
    <xf numFmtId="164" fontId="1" fillId="0" borderId="0" xfId="0" applyNumberFormat="1" applyFont="1"/>
    <xf numFmtId="165" fontId="2" fillId="0" borderId="0" xfId="0" applyNumberFormat="1" applyFont="1"/>
    <xf numFmtId="0" fontId="3" fillId="0" borderId="1" xfId="0" applyFont="1" applyBorder="1"/>
    <xf numFmtId="0" fontId="4" fillId="2" borderId="0" xfId="0" applyFont="1" applyFill="1"/>
    <xf numFmtId="0" fontId="5" fillId="0" borderId="0" xfId="0" applyFont="1" applyAlignment="1">
      <alignment indent="1"/>
    </xf>
    <xf numFmtId="164" fontId="6" fillId="0" borderId="2" xfId="0" applyNumberFormat="1" applyFont="1" applyBorder="1" applyAlignment="1">
      <alignment indent="1"/>
    </xf>
    <xf numFmtId="164" fontId="6" fillId="0" borderId="3" xfId="0" applyNumberFormat="1" applyFont="1" applyBorder="1" applyAlignment="1">
      <alignment indent="1"/>
    </xf>
    <xf numFmtId="0" fontId="6" fillId="0" borderId="4" xfId="0" applyFont="1" applyBorder="1"/>
    <xf numFmtId="0" fontId="0" fillId="2" borderId="0" xfId="0" applyFill="1"/>
    <xf numFmtId="164" fontId="6" fillId="0" borderId="2" xfId="0" applyNumberFormat="1" applyFont="1" applyBorder="1"/>
    <xf numFmtId="164" fontId="6" fillId="0" borderId="3" xfId="0" applyNumberFormat="1" applyFont="1" applyBorder="1"/>
    <xf numFmtId="166" fontId="1" fillId="0" borderId="0" xfId="0" applyNumberFormat="1" applyFont="1"/>
    <xf numFmtId="0" fontId="7" fillId="0" borderId="0" xfId="0" applyFont="1"/>
    <xf numFmtId="0" fontId="9" fillId="0" borderId="0" xfId="0" applyFont="1" applyAlignment="1">
      <alignment indent="1"/>
    </xf>
    <xf numFmtId="9" fontId="1" fillId="0" borderId="0" xfId="0" applyNumberFormat="1" applyFont="1"/>
    <xf numFmtId="9" fontId="10" fillId="0" borderId="0" xfId="0" applyNumberFormat="1" applyFont="1"/>
    <xf numFmtId="9" fontId="11" fillId="0" borderId="5" xfId="0" applyNumberFormat="1" applyFont="1" applyBorder="1" applyAlignment="1">
      <alignment horizontal="center"/>
    </xf>
    <xf numFmtId="9" fontId="11" fillId="0" borderId="0" xfId="0" applyNumberFormat="1" applyFont="1" applyAlignment="1">
      <alignment horizontal="center"/>
    </xf>
    <xf numFmtId="0" fontId="12" fillId="3" borderId="6" xfId="0" applyFont="1" applyFill="1" applyBorder="1" applyAlignment="1">
      <alignment horizontal="center" vertical="center" wrapText="1"/>
    </xf>
    <xf numFmtId="0" fontId="12" fillId="3" borderId="7" xfId="0" applyFont="1" applyFill="1" applyBorder="1" applyAlignment="1">
      <alignment horizontal="center" vertical="center" wrapText="1"/>
    </xf>
    <xf numFmtId="9" fontId="11" fillId="0" borderId="8" xfId="0" applyNumberFormat="1" applyFont="1" applyBorder="1" applyAlignment="1">
      <alignment horizontal="center"/>
    </xf>
    <xf numFmtId="2" fontId="11" fillId="0" borderId="8" xfId="0" applyNumberFormat="1" applyFont="1" applyBorder="1" applyAlignment="1">
      <alignment horizontal="center"/>
    </xf>
    <xf numFmtId="10" fontId="1" fillId="0" borderId="0" xfId="0" applyNumberFormat="1" applyFont="1"/>
    <xf numFmtId="0" fontId="13" fillId="0" borderId="4" xfId="0" applyFont="1" applyBorder="1"/>
    <xf numFmtId="164" fontId="10" fillId="0" borderId="0" xfId="0" applyNumberFormat="1" applyFont="1"/>
    <xf numFmtId="9" fontId="11" fillId="0" borderId="9" xfId="0" applyNumberFormat="1" applyFont="1" applyBorder="1" applyAlignment="1">
      <alignment horizontal="center"/>
    </xf>
    <xf numFmtId="164" fontId="1" fillId="0" borderId="6" xfId="0" applyNumberFormat="1" applyFont="1" applyBorder="1" applyAlignment="1">
      <alignment horizontal="center"/>
    </xf>
    <xf numFmtId="164" fontId="10" fillId="4" borderId="0" xfId="0" applyNumberFormat="1" applyFont="1" applyFill="1"/>
    <xf numFmtId="0" fontId="0" fillId="4" borderId="0" xfId="0" applyFill="1"/>
    <xf numFmtId="0" fontId="0" fillId="4" borderId="0" xfId="0" applyFill="1" applyAlignment="1">
      <alignment horizontal="left"/>
    </xf>
    <xf numFmtId="164" fontId="13" fillId="0" borderId="2" xfId="0" applyNumberFormat="1" applyFont="1" applyBorder="1"/>
    <xf numFmtId="165" fontId="10" fillId="0" borderId="10" xfId="0" applyNumberFormat="1" applyFont="1" applyBorder="1"/>
    <xf numFmtId="166" fontId="10" fillId="0" borderId="0" xfId="0" applyNumberFormat="1" applyFont="1"/>
    <xf numFmtId="164" fontId="13" fillId="0" borderId="3" xfId="0" applyNumberFormat="1" applyFont="1" applyBorder="1"/>
    <xf numFmtId="165" fontId="10" fillId="0" borderId="0" xfId="0" applyNumberFormat="1" applyFont="1"/>
    <xf numFmtId="168" fontId="11" fillId="0" borderId="9" xfId="0" applyNumberFormat="1" applyFont="1" applyBorder="1" applyAlignment="1">
      <alignment horizontal="center"/>
    </xf>
    <xf numFmtId="168" fontId="11" fillId="0" borderId="5" xfId="0" applyNumberFormat="1" applyFont="1" applyBorder="1" applyAlignment="1">
      <alignment horizontal="center"/>
    </xf>
    <xf numFmtId="168" fontId="11" fillId="0" borderId="6" xfId="0" applyNumberFormat="1" applyFont="1" applyBorder="1" applyAlignment="1">
      <alignment horizontal="center"/>
    </xf>
    <xf numFmtId="164" fontId="10" fillId="7" borderId="0" xfId="0" applyNumberFormat="1" applyFont="1" applyFill="1"/>
    <xf numFmtId="164" fontId="1" fillId="7" borderId="0" xfId="0" applyNumberFormat="1" applyFont="1" applyFill="1"/>
    <xf numFmtId="0" fontId="1" fillId="0" borderId="0" xfId="0" applyFont="1" applyAlignment="1">
      <alignment indent="1"/>
    </xf>
    <xf numFmtId="169" fontId="11" fillId="0" borderId="5" xfId="0" applyNumberFormat="1" applyFont="1" applyBorder="1" applyAlignment="1">
      <alignment horizontal="center"/>
    </xf>
    <xf numFmtId="169" fontId="11" fillId="0" borderId="8" xfId="0" applyNumberFormat="1" applyFont="1" applyBorder="1" applyAlignment="1">
      <alignment horizontal="center"/>
    </xf>
    <xf numFmtId="0" fontId="11" fillId="4" borderId="0" xfId="0" applyFont="1" applyFill="1" applyAlignment="1">
      <alignment horizontal="left" vertical="center" wrapText="1"/>
    </xf>
    <xf numFmtId="164" fontId="11" fillId="4" borderId="0" xfId="0" applyNumberFormat="1" applyFont="1" applyFill="1"/>
    <xf numFmtId="0" fontId="12" fillId="4" borderId="0" xfId="0" applyFont="1" applyFill="1" applyAlignment="1">
      <alignment horizontal="left" vertical="center" wrapText="1"/>
    </xf>
    <xf numFmtId="10" fontId="12" fillId="4" borderId="0" xfId="0" applyNumberFormat="1" applyFont="1" applyFill="1"/>
    <xf numFmtId="10" fontId="11" fillId="4" borderId="0" xfId="0" applyNumberFormat="1" applyFont="1" applyFill="1"/>
    <xf numFmtId="39" fontId="11" fillId="4" borderId="0" xfId="0" applyNumberFormat="1" applyFont="1" applyFill="1"/>
    <xf numFmtId="164" fontId="1" fillId="4" borderId="0" xfId="0" applyNumberFormat="1" applyFont="1" applyFill="1"/>
    <xf numFmtId="164" fontId="12" fillId="4" borderId="0" xfId="0" applyNumberFormat="1" applyFont="1" applyFill="1"/>
    <xf numFmtId="0" fontId="12" fillId="5" borderId="0" xfId="0" applyFont="1" applyFill="1" applyAlignment="1">
      <alignment horizontal="left" vertical="center" wrapText="1"/>
    </xf>
    <xf numFmtId="10" fontId="12" fillId="5" borderId="0" xfId="0" applyNumberFormat="1" applyFont="1" applyFill="1"/>
    <xf numFmtId="9" fontId="16" fillId="4" borderId="0" xfId="0" applyNumberFormat="1" applyFont="1" applyFill="1" applyAlignment="1">
      <alignment wrapText="1"/>
    </xf>
    <xf numFmtId="10" fontId="1" fillId="4" borderId="0" xfId="0" applyNumberFormat="1" applyFont="1" applyFill="1" applyAlignment="1">
      <alignment horizontal="right" vertical="center"/>
    </xf>
    <xf numFmtId="0" fontId="16" fillId="7" borderId="0" xfId="0" applyFont="1" applyFill="1" applyAlignment="1">
      <alignment wrapText="1"/>
    </xf>
    <xf numFmtId="10" fontId="1" fillId="7" borderId="0" xfId="0" applyNumberFormat="1" applyFont="1" applyFill="1" applyAlignment="1">
      <alignment horizontal="right" vertical="center"/>
    </xf>
    <xf numFmtId="0" fontId="16" fillId="4" borderId="0" xfId="0" applyFont="1" applyFill="1"/>
    <xf numFmtId="164" fontId="1" fillId="4" borderId="0" xfId="0" applyNumberFormat="1" applyFont="1" applyFill="1" applyAlignment="1">
      <alignment wrapText="1"/>
    </xf>
    <xf numFmtId="164" fontId="1" fillId="5" borderId="0" xfId="0" applyNumberFormat="1" applyFont="1" applyFill="1" applyAlignment="1">
      <alignment wrapText="1"/>
    </xf>
    <xf numFmtId="167" fontId="12" fillId="5" borderId="0" xfId="0" applyNumberFormat="1" applyFont="1" applyFill="1"/>
    <xf numFmtId="167" fontId="1" fillId="4" borderId="0" xfId="0" applyNumberFormat="1" applyFont="1" applyFill="1"/>
    <xf numFmtId="9" fontId="12" fillId="5" borderId="0" xfId="1" applyFont="1" applyFill="1" applyBorder="1"/>
    <xf numFmtId="0" fontId="12" fillId="5" borderId="0" xfId="0" applyFont="1" applyFill="1" applyAlignment="1">
      <alignment horizontal="right"/>
    </xf>
    <xf numFmtId="0" fontId="1" fillId="5" borderId="0" xfId="0" applyFont="1" applyFill="1" applyAlignment="1">
      <alignment horizontal="center"/>
    </xf>
    <xf numFmtId="0" fontId="14" fillId="5" borderId="0" xfId="0" applyFont="1" applyFill="1" applyAlignment="1">
      <alignment horizontal="center"/>
    </xf>
    <xf numFmtId="0" fontId="15" fillId="5" borderId="0" xfId="0" applyFont="1" applyFill="1" applyAlignment="1">
      <alignment horizontal="center"/>
    </xf>
    <xf numFmtId="0" fontId="12" fillId="6" borderId="0" xfId="0" applyFont="1" applyFill="1" applyAlignment="1">
      <alignment horizontal="center" vertical="center" wrapText="1"/>
    </xf>
  </cellXfs>
  <cellStyles count="2">
    <cellStyle name="Normal" xfId="0" builtinId="0"/>
    <cellStyle name="Percent" xfId="1" builtinId="5"/>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microsoft.com/office/2017/06/relationships/rdRichValueStructure" Target="richData/rdrichvaluestructure.xml"/><Relationship Id="rId13" Type="http://schemas.openxmlformats.org/officeDocument/2006/relationships/calcChain" Target="calcChain.xml"/><Relationship Id="rId3" Type="http://schemas.openxmlformats.org/officeDocument/2006/relationships/theme" Target="theme/theme1.xml"/><Relationship Id="rId7" Type="http://schemas.microsoft.com/office/2017/06/relationships/rdRichValue" Target="richData/rdrichvalue.xml"/><Relationship Id="rId12" Type="http://schemas.microsoft.com/office/2017/06/relationships/rdRichValueTypes" Target="richData/rdRichValueTypes.xml"/><Relationship Id="rId2" Type="http://schemas.openxmlformats.org/officeDocument/2006/relationships/externalLink" Target="externalLinks/externalLink1.xml"/><Relationship Id="rId1" Type="http://schemas.openxmlformats.org/officeDocument/2006/relationships/worksheet" Target="worksheets/sheet1.xml"/><Relationship Id="rId6" Type="http://schemas.openxmlformats.org/officeDocument/2006/relationships/sheetMetadata" Target="metadata.xml"/><Relationship Id="rId11" Type="http://schemas.microsoft.com/office/2017/06/relationships/rdSupportingPropertyBag" Target="richData/rdsupportingpropertybag.xml"/><Relationship Id="rId5" Type="http://schemas.openxmlformats.org/officeDocument/2006/relationships/sharedStrings" Target="sharedStrings.xml"/><Relationship Id="rId10" Type="http://schemas.microsoft.com/office/2017/06/relationships/rdSupportingPropertyBagStructure" Target="richData/rdsupportingpropertybagstructure.xml"/><Relationship Id="rId4" Type="http://schemas.openxmlformats.org/officeDocument/2006/relationships/styles" Target="styles.xml"/><Relationship Id="rId9" Type="http://schemas.microsoft.com/office/2017/06/relationships/richStyles" Target="richData/richStyles.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600" b="1" i="0" u="none" strike="noStrike" kern="1200" baseline="0">
                <a:solidFill>
                  <a:schemeClr val="tx2"/>
                </a:solidFill>
                <a:latin typeface="+mn-lt"/>
                <a:ea typeface="+mn-ea"/>
                <a:cs typeface="+mn-cs"/>
              </a:defRPr>
            </a:pPr>
            <a:r>
              <a:rPr lang="en-US" sz="2400"/>
              <a:t>Adyen</a:t>
            </a:r>
            <a:endParaRPr lang="en-US"/>
          </a:p>
        </c:rich>
      </c:tx>
      <c:overlay val="0"/>
      <c:spPr>
        <a:noFill/>
        <a:ln>
          <a:noFill/>
        </a:ln>
        <a:effectLst/>
      </c:spPr>
      <c:txPr>
        <a:bodyPr rot="0" spcFirstLastPara="1" vertOverflow="ellipsis" vert="horz" wrap="square" anchor="ctr" anchorCtr="1"/>
        <a:lstStyle/>
        <a:p>
          <a:pPr>
            <a:defRPr sz="1600" b="1" i="0" u="none" strike="noStrike" kern="1200" baseline="0">
              <a:solidFill>
                <a:schemeClr val="tx2"/>
              </a:solidFill>
              <a:latin typeface="+mn-lt"/>
              <a:ea typeface="+mn-ea"/>
              <a:cs typeface="+mn-cs"/>
            </a:defRPr>
          </a:pPr>
          <a:endParaRPr lang="en-US"/>
        </a:p>
      </c:txPr>
    </c:title>
    <c:autoTitleDeleted val="0"/>
    <c:plotArea>
      <c:layout>
        <c:manualLayout>
          <c:layoutTarget val="inner"/>
          <c:xMode val="edge"/>
          <c:yMode val="edge"/>
          <c:x val="9.6863787375415275E-2"/>
          <c:y val="0.14055285798134959"/>
          <c:w val="0.84599335548172772"/>
          <c:h val="0.67444631990973947"/>
        </c:manualLayout>
      </c:layout>
      <c:barChart>
        <c:barDir val="col"/>
        <c:grouping val="clustered"/>
        <c:varyColors val="0"/>
        <c:ser>
          <c:idx val="0"/>
          <c:order val="0"/>
          <c:tx>
            <c:strRef>
              <c:f>'Sheet 1'!$A$3</c:f>
              <c:strCache>
                <c:ptCount val="1"/>
                <c:pt idx="0">
                  <c:v>Revenue</c:v>
                </c:pt>
              </c:strCache>
            </c:strRef>
          </c:tx>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c:spPr>
          <c:invertIfNegative val="0"/>
          <c:val>
            <c:numRef>
              <c:f>'Sheet 1'!$B$3:$J$3</c:f>
              <c:numCache>
                <c:formatCode>#,###,,;\(#,###,,\);\ \-\ \-</c:formatCode>
                <c:ptCount val="9"/>
                <c:pt idx="0">
                  <c:v>153675000</c:v>
                </c:pt>
                <c:pt idx="1">
                  <c:v>331101000</c:v>
                </c:pt>
                <c:pt idx="2">
                  <c:v>659361000</c:v>
                </c:pt>
                <c:pt idx="3">
                  <c:v>1012440000</c:v>
                </c:pt>
                <c:pt idx="4">
                  <c:v>1652948000</c:v>
                </c:pt>
                <c:pt idx="5">
                  <c:v>2656774000</c:v>
                </c:pt>
                <c:pt idx="6">
                  <c:v>3641389000</c:v>
                </c:pt>
                <c:pt idx="7">
                  <c:v>5995419000</c:v>
                </c:pt>
                <c:pt idx="8">
                  <c:v>8935661000</c:v>
                </c:pt>
              </c:numCache>
            </c:numRef>
          </c:val>
          <c:extLst>
            <c:ext xmlns:c16="http://schemas.microsoft.com/office/drawing/2014/chart" uri="{C3380CC4-5D6E-409C-BE32-E72D297353CC}">
              <c16:uniqueId val="{00000000-61D0-304E-8D5A-7F1748D01593}"/>
            </c:ext>
          </c:extLst>
        </c:ser>
        <c:ser>
          <c:idx val="1"/>
          <c:order val="1"/>
          <c:tx>
            <c:strRef>
              <c:f>'Sheet 1'!$A$19</c:f>
              <c:strCache>
                <c:ptCount val="1"/>
                <c:pt idx="0">
                  <c:v>EBITDA</c:v>
                </c:pt>
              </c:strCache>
            </c:strRef>
          </c:tx>
          <c:spPr>
            <a:gradFill rotWithShape="1">
              <a:gsLst>
                <a:gs pos="0">
                  <a:schemeClr val="accent2">
                    <a:satMod val="103000"/>
                    <a:lumMod val="102000"/>
                    <a:tint val="94000"/>
                  </a:schemeClr>
                </a:gs>
                <a:gs pos="50000">
                  <a:schemeClr val="accent2">
                    <a:satMod val="110000"/>
                    <a:lumMod val="100000"/>
                    <a:shade val="100000"/>
                  </a:schemeClr>
                </a:gs>
                <a:gs pos="100000">
                  <a:schemeClr val="accent2">
                    <a:lumMod val="99000"/>
                    <a:satMod val="120000"/>
                    <a:shade val="78000"/>
                  </a:schemeClr>
                </a:gs>
              </a:gsLst>
              <a:lin ang="5400000" scaled="0"/>
            </a:gradFill>
            <a:ln>
              <a:noFill/>
            </a:ln>
            <a:effectLst/>
          </c:spPr>
          <c:invertIfNegative val="0"/>
          <c:val>
            <c:numRef>
              <c:f>'Sheet 1'!$B$19:$J$19</c:f>
              <c:numCache>
                <c:formatCode>#,###,,;\(#,###,,\);\ \-\ \-</c:formatCode>
                <c:ptCount val="9"/>
                <c:pt idx="0">
                  <c:v>15022000</c:v>
                </c:pt>
                <c:pt idx="1">
                  <c:v>43268000</c:v>
                </c:pt>
                <c:pt idx="2">
                  <c:v>123881000</c:v>
                </c:pt>
                <c:pt idx="3">
                  <c:v>98935000</c:v>
                </c:pt>
                <c:pt idx="4">
                  <c:v>174962000</c:v>
                </c:pt>
                <c:pt idx="5">
                  <c:v>284217000</c:v>
                </c:pt>
                <c:pt idx="6">
                  <c:v>361153000</c:v>
                </c:pt>
                <c:pt idx="7">
                  <c:v>628646000</c:v>
                </c:pt>
                <c:pt idx="8">
                  <c:v>693000000</c:v>
                </c:pt>
              </c:numCache>
            </c:numRef>
          </c:val>
          <c:extLst>
            <c:ext xmlns:c16="http://schemas.microsoft.com/office/drawing/2014/chart" uri="{C3380CC4-5D6E-409C-BE32-E72D297353CC}">
              <c16:uniqueId val="{00000001-61D0-304E-8D5A-7F1748D01593}"/>
            </c:ext>
          </c:extLst>
        </c:ser>
        <c:ser>
          <c:idx val="2"/>
          <c:order val="2"/>
          <c:tx>
            <c:strRef>
              <c:f>'Sheet 1'!$A$107</c:f>
              <c:strCache>
                <c:ptCount val="1"/>
                <c:pt idx="0">
                  <c:v>Levered FCF</c:v>
                </c:pt>
              </c:strCache>
            </c:strRef>
          </c:tx>
          <c:spPr>
            <a:gradFill rotWithShape="1">
              <a:gsLst>
                <a:gs pos="0">
                  <a:schemeClr val="accent3">
                    <a:satMod val="103000"/>
                    <a:lumMod val="102000"/>
                    <a:tint val="94000"/>
                  </a:schemeClr>
                </a:gs>
                <a:gs pos="50000">
                  <a:schemeClr val="accent3">
                    <a:satMod val="110000"/>
                    <a:lumMod val="100000"/>
                    <a:shade val="100000"/>
                  </a:schemeClr>
                </a:gs>
                <a:gs pos="100000">
                  <a:schemeClr val="accent3">
                    <a:lumMod val="99000"/>
                    <a:satMod val="120000"/>
                    <a:shade val="78000"/>
                  </a:schemeClr>
                </a:gs>
              </a:gsLst>
              <a:lin ang="5400000" scaled="0"/>
            </a:gradFill>
            <a:ln>
              <a:noFill/>
            </a:ln>
            <a:effectLst/>
          </c:spPr>
          <c:invertIfNegative val="0"/>
          <c:val>
            <c:numRef>
              <c:f>'Sheet 1'!$B$107:$J$107</c:f>
              <c:numCache>
                <c:formatCode>#,###,,;\(#,###,,\);\ \-\ \-</c:formatCode>
                <c:ptCount val="9"/>
                <c:pt idx="0">
                  <c:v>141003000</c:v>
                </c:pt>
                <c:pt idx="1">
                  <c:v>131536000</c:v>
                </c:pt>
                <c:pt idx="2">
                  <c:v>177039000</c:v>
                </c:pt>
                <c:pt idx="3">
                  <c:v>189583000</c:v>
                </c:pt>
                <c:pt idx="4">
                  <c:v>370195000</c:v>
                </c:pt>
                <c:pt idx="5">
                  <c:v>509496000</c:v>
                </c:pt>
                <c:pt idx="6">
                  <c:v>994755000</c:v>
                </c:pt>
                <c:pt idx="7">
                  <c:v>1765800000</c:v>
                </c:pt>
                <c:pt idx="8">
                  <c:v>1999000000</c:v>
                </c:pt>
              </c:numCache>
            </c:numRef>
          </c:val>
          <c:extLst>
            <c:ext xmlns:c16="http://schemas.microsoft.com/office/drawing/2014/chart" uri="{C3380CC4-5D6E-409C-BE32-E72D297353CC}">
              <c16:uniqueId val="{00000002-61D0-304E-8D5A-7F1748D01593}"/>
            </c:ext>
          </c:extLst>
        </c:ser>
        <c:dLbls>
          <c:showLegendKey val="0"/>
          <c:showVal val="0"/>
          <c:showCatName val="0"/>
          <c:showSerName val="0"/>
          <c:showPercent val="0"/>
          <c:showBubbleSize val="0"/>
        </c:dLbls>
        <c:gapWidth val="100"/>
        <c:overlap val="-24"/>
        <c:axId val="920810976"/>
        <c:axId val="920812976"/>
      </c:barChart>
      <c:catAx>
        <c:axId val="920810976"/>
        <c:scaling>
          <c:orientation val="minMax"/>
        </c:scaling>
        <c:delete val="0"/>
        <c:axPos val="b"/>
        <c:numFmt formatCode="General" sourceLinked="1"/>
        <c:majorTickMark val="none"/>
        <c:minorTickMark val="none"/>
        <c:tickLblPos val="nextTo"/>
        <c:spPr>
          <a:noFill/>
          <a:ln w="9525" cap="flat" cmpd="sng" algn="ctr">
            <a:solidFill>
              <a:schemeClr val="tx2">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2"/>
                </a:solidFill>
                <a:latin typeface="+mn-lt"/>
                <a:ea typeface="+mn-ea"/>
                <a:cs typeface="+mn-cs"/>
              </a:defRPr>
            </a:pPr>
            <a:endParaRPr lang="en-US"/>
          </a:p>
        </c:txPr>
        <c:crossAx val="920812976"/>
        <c:crosses val="autoZero"/>
        <c:auto val="1"/>
        <c:lblAlgn val="ctr"/>
        <c:lblOffset val="100"/>
        <c:noMultiLvlLbl val="0"/>
      </c:catAx>
      <c:valAx>
        <c:axId val="920812976"/>
        <c:scaling>
          <c:orientation val="minMax"/>
        </c:scaling>
        <c:delete val="0"/>
        <c:axPos val="l"/>
        <c:majorGridlines>
          <c:spPr>
            <a:ln w="9525" cap="flat" cmpd="sng" algn="ctr">
              <a:solidFill>
                <a:schemeClr val="tx2">
                  <a:lumMod val="15000"/>
                  <a:lumOff val="85000"/>
                </a:schemeClr>
              </a:solidFill>
              <a:round/>
            </a:ln>
            <a:effectLst/>
          </c:spPr>
        </c:majorGridlines>
        <c:numFmt formatCode="#,###,,;\(#,###,,\);\ \-\ \-" sourceLinked="1"/>
        <c:majorTickMark val="none"/>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2"/>
                </a:solidFill>
                <a:latin typeface="+mn-lt"/>
                <a:ea typeface="+mn-ea"/>
                <a:cs typeface="+mn-cs"/>
              </a:defRPr>
            </a:pPr>
            <a:endParaRPr lang="en-US"/>
          </a:p>
        </c:txPr>
        <c:crossAx val="920810976"/>
        <c:crosses val="autoZero"/>
        <c:crossBetween val="between"/>
      </c:valAx>
      <c:spPr>
        <a:noFill/>
        <a:ln>
          <a:noFill/>
        </a:ln>
        <a:effectLst/>
      </c:spPr>
    </c:plotArea>
    <c:legend>
      <c:legendPos val="b"/>
      <c:layout>
        <c:manualLayout>
          <c:xMode val="edge"/>
          <c:yMode val="edge"/>
          <c:x val="0.36366484422005391"/>
          <c:y val="0.91053257929487919"/>
          <c:w val="0.30456399926753341"/>
          <c:h val="4.8245968429433246E-2"/>
        </c:manualLayout>
      </c:layout>
      <c:overlay val="0"/>
      <c:spPr>
        <a:noFill/>
        <a:ln>
          <a:noFill/>
        </a:ln>
        <a:effectLst/>
      </c:spPr>
      <c:txPr>
        <a:bodyPr rot="0" spcFirstLastPara="1" vertOverflow="ellipsis" vert="horz" wrap="square" anchor="ctr" anchorCtr="1"/>
        <a:lstStyle/>
        <a:p>
          <a:pPr>
            <a:defRPr sz="1200" b="0" i="0" u="none" strike="noStrike" kern="1200" baseline="0">
              <a:solidFill>
                <a:schemeClr val="tx2"/>
              </a:solidFill>
              <a:latin typeface="+mn-lt"/>
              <a:ea typeface="+mn-ea"/>
              <a:cs typeface="+mn-cs"/>
            </a:defRPr>
          </a:pPr>
          <a:endParaRPr lang="en-US"/>
        </a:p>
      </c:txPr>
    </c:legend>
    <c:plotVisOnly val="1"/>
    <c:dispBlanksAs val="gap"/>
    <c:showDLblsOverMax val="0"/>
  </c:chart>
  <c:spPr>
    <a:solidFill>
      <a:schemeClr val="bg1"/>
    </a:solidFill>
    <a:ln w="9525" cap="flat" cmpd="sng" algn="ctr">
      <a:solidFill>
        <a:schemeClr val="tx2">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07">
  <cs:axisTitle>
    <cs:lnRef idx="0"/>
    <cs:fillRef idx="0"/>
    <cs:effectRef idx="0"/>
    <cs:fontRef idx="minor">
      <a:schemeClr val="tx2"/>
    </cs:fontRef>
    <cs:defRPr sz="900" b="1" kern="1200"/>
  </cs:axisTitle>
  <cs:categoryAxis>
    <cs:lnRef idx="0"/>
    <cs:fillRef idx="0"/>
    <cs:effectRef idx="0"/>
    <cs:fontRef idx="minor">
      <a:schemeClr val="tx2"/>
    </cs:fontRef>
    <cs:spPr>
      <a:ln w="9525" cap="flat" cmpd="sng" algn="ctr">
        <a:solidFill>
          <a:schemeClr val="tx2">
            <a:lumMod val="15000"/>
            <a:lumOff val="85000"/>
          </a:schemeClr>
        </a:solidFill>
        <a:round/>
      </a:ln>
    </cs:spPr>
    <cs:defRPr sz="900" kern="1200"/>
  </cs:categoryAxis>
  <cs:chartArea mods="allowNoFillOverride allowNoLineOverride">
    <cs:lnRef idx="0"/>
    <cs:fillRef idx="0"/>
    <cs:effectRef idx="0"/>
    <cs:fontRef idx="minor">
      <a:schemeClr val="tx2"/>
    </cs:fontRef>
    <cs:spPr>
      <a:solidFill>
        <a:schemeClr val="bg1"/>
      </a:solidFill>
      <a:ln w="9525" cap="flat" cmpd="sng" algn="ctr">
        <a:solidFill>
          <a:schemeClr val="tx2">
            <a:lumMod val="15000"/>
            <a:lumOff val="85000"/>
          </a:schemeClr>
        </a:solidFill>
        <a:round/>
      </a:ln>
    </cs:spPr>
    <cs:defRPr sz="900" kern="1200"/>
  </cs:chartArea>
  <cs:dataLabel>
    <cs:lnRef idx="0"/>
    <cs:fillRef idx="0"/>
    <cs:effectRef idx="0"/>
    <cs:fontRef idx="minor">
      <a:schemeClr val="tx2"/>
    </cs:fontRef>
    <cs:defRPr sz="900" kern="1200"/>
  </cs:dataLabel>
  <cs:dataLabelCallout>
    <cs:lnRef idx="0"/>
    <cs:fillRef idx="0"/>
    <cs:effectRef idx="0"/>
    <cs:fontRef idx="minor">
      <a:schemeClr val="dk2">
        <a:lumMod val="7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3">
      <cs:styleClr val="auto"/>
    </cs:fillRef>
    <cs:effectRef idx="2"/>
    <cs:fontRef idx="minor">
      <a:schemeClr val="tx2"/>
    </cs:fontRef>
  </cs:dataPoint>
  <cs:dataPoint3D>
    <cs:lnRef idx="0"/>
    <cs:fillRef idx="3">
      <cs:styleClr val="auto"/>
    </cs:fillRef>
    <cs:effectRef idx="2"/>
    <cs:fontRef idx="minor">
      <a:schemeClr val="tx2"/>
    </cs:fontRef>
  </cs:dataPoint3D>
  <cs:dataPointLine>
    <cs:lnRef idx="0">
      <cs:styleClr val="auto"/>
    </cs:lnRef>
    <cs:fillRef idx="3"/>
    <cs:effectRef idx="2"/>
    <cs:fontRef idx="minor">
      <a:schemeClr val="tx2"/>
    </cs:fontRef>
    <cs:spPr>
      <a:ln w="31750" cap="rnd">
        <a:solidFill>
          <a:schemeClr val="phClr"/>
        </a:solidFill>
        <a:round/>
      </a:ln>
    </cs:spPr>
  </cs:dataPointLine>
  <cs:dataPointMarker>
    <cs:lnRef idx="0"/>
    <cs:fillRef idx="3">
      <cs:styleClr val="auto"/>
    </cs:fillRef>
    <cs:effectRef idx="2"/>
    <cs:fontRef idx="minor">
      <a:schemeClr val="tx2"/>
    </cs:fontRef>
    <cs:spPr>
      <a:ln w="12700">
        <a:solidFill>
          <a:schemeClr val="lt2"/>
        </a:solidFill>
        <a:round/>
      </a:ln>
    </cs:spPr>
  </cs:dataPointMarker>
  <cs:dataPointMarkerLayout symbol="circle" size="6"/>
  <cs:dataPointWireframe>
    <cs:lnRef idx="0">
      <cs:styleClr val="auto"/>
    </cs:lnRef>
    <cs:fillRef idx="3"/>
    <cs:effectRef idx="2"/>
    <cs:fontRef idx="minor">
      <a:schemeClr val="tx2"/>
    </cs:fontRef>
    <cs:spPr>
      <a:ln w="9525" cap="rnd">
        <a:solidFill>
          <a:schemeClr val="phClr"/>
        </a:solidFill>
        <a:round/>
      </a:ln>
    </cs:spPr>
  </cs:dataPointWireframe>
  <cs:dataTable>
    <cs:lnRef idx="0"/>
    <cs:fillRef idx="0"/>
    <cs:effectRef idx="0"/>
    <cs:fontRef idx="minor">
      <a:schemeClr val="tx2"/>
    </cs:fontRef>
    <cs:spPr>
      <a:ln w="9525">
        <a:solidFill>
          <a:schemeClr val="tx2">
            <a:lumMod val="15000"/>
            <a:lumOff val="85000"/>
          </a:schemeClr>
        </a:solidFill>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2"/>
    </cs:fontRef>
    <cs:spPr>
      <a:ln w="9525">
        <a:solidFill>
          <a:schemeClr val="tx2">
            <a:lumMod val="60000"/>
            <a:lumOff val="40000"/>
          </a:schemeClr>
        </a:solidFill>
        <a:prstDash val="dash"/>
      </a:ln>
    </cs:spPr>
  </cs:dropLine>
  <cs:errorBar>
    <cs:lnRef idx="0"/>
    <cs:fillRef idx="0"/>
    <cs:effectRef idx="0"/>
    <cs:fontRef idx="minor">
      <a:schemeClr val="tx2"/>
    </cs:fontRef>
    <cs:spPr>
      <a:ln w="9525">
        <a:solidFill>
          <a:schemeClr val="tx2">
            <a:lumMod val="75000"/>
            <a:lumOff val="25000"/>
          </a:schemeClr>
        </a:solidFill>
        <a:round/>
      </a:ln>
    </cs:spPr>
  </cs:errorBar>
  <cs:floor>
    <cs:lnRef idx="0"/>
    <cs:fillRef idx="0"/>
    <cs:effectRef idx="0"/>
    <cs:fontRef idx="minor">
      <a:schemeClr val="tx2"/>
    </cs:fontRef>
  </cs:floor>
  <cs:gridlineMajor>
    <cs:lnRef idx="0"/>
    <cs:fillRef idx="0"/>
    <cs:effectRef idx="0"/>
    <cs:fontRef idx="minor">
      <a:schemeClr val="tx2"/>
    </cs:fontRef>
    <cs:spPr>
      <a:ln w="9525" cap="flat" cmpd="sng" algn="ctr">
        <a:solidFill>
          <a:schemeClr val="tx2">
            <a:lumMod val="15000"/>
            <a:lumOff val="85000"/>
          </a:schemeClr>
        </a:solidFill>
        <a:round/>
      </a:ln>
    </cs:spPr>
  </cs:gridlineMajor>
  <cs:gridlineMinor>
    <cs:lnRef idx="0"/>
    <cs:fillRef idx="0"/>
    <cs:effectRef idx="0"/>
    <cs:fontRef idx="minor">
      <a:schemeClr val="tx2"/>
    </cs:fontRef>
    <cs:spPr>
      <a:ln>
        <a:solidFill>
          <a:schemeClr val="tx2">
            <a:lumMod val="5000"/>
            <a:lumOff val="95000"/>
          </a:schemeClr>
        </a:solidFill>
      </a:ln>
    </cs:spPr>
  </cs:gridlineMinor>
  <cs:hiLoLine>
    <cs:lnRef idx="0"/>
    <cs:fillRef idx="0"/>
    <cs:effectRef idx="0"/>
    <cs:fontRef idx="minor">
      <a:schemeClr val="tx2"/>
    </cs:fontRef>
    <cs:spPr>
      <a:ln w="9525">
        <a:solidFill>
          <a:schemeClr val="tx2">
            <a:lumMod val="60000"/>
            <a:lumOff val="40000"/>
          </a:schemeClr>
        </a:solidFill>
        <a:prstDash val="dash"/>
      </a:ln>
    </cs:spPr>
  </cs:hiLoLine>
  <cs:leaderLine>
    <cs:lnRef idx="0"/>
    <cs:fillRef idx="0"/>
    <cs:effectRef idx="0"/>
    <cs:fontRef idx="minor">
      <a:schemeClr val="tx2"/>
    </cs:fontRef>
    <cs:spPr>
      <a:ln w="9525">
        <a:solidFill>
          <a:schemeClr val="tx2">
            <a:lumMod val="35000"/>
            <a:lumOff val="65000"/>
          </a:schemeClr>
        </a:solidFill>
      </a:ln>
    </cs:spPr>
  </cs:leaderLine>
  <cs:legend>
    <cs:lnRef idx="0"/>
    <cs:fillRef idx="0"/>
    <cs:effectRef idx="0"/>
    <cs:fontRef idx="minor">
      <a:schemeClr val="tx2"/>
    </cs:fontRef>
    <cs:defRPr sz="900" kern="1200"/>
  </cs:legend>
  <cs:plotArea>
    <cs:lnRef idx="0"/>
    <cs:fillRef idx="0"/>
    <cs:effectRef idx="0"/>
    <cs:fontRef idx="minor">
      <a:schemeClr val="tx2"/>
    </cs:fontRef>
  </cs:plotArea>
  <cs:plotArea3D>
    <cs:lnRef idx="0"/>
    <cs:fillRef idx="0"/>
    <cs:effectRef idx="0"/>
    <cs:fontRef idx="minor">
      <a:schemeClr val="tx2"/>
    </cs:fontRef>
  </cs:plotArea3D>
  <cs:seriesAxis>
    <cs:lnRef idx="0"/>
    <cs:fillRef idx="0"/>
    <cs:effectRef idx="0"/>
    <cs:fontRef idx="minor">
      <a:schemeClr val="tx2"/>
    </cs:fontRef>
    <cs:spPr>
      <a:ln w="9525" cap="flat" cmpd="sng" algn="ctr">
        <a:solidFill>
          <a:schemeClr val="tx2">
            <a:lumMod val="15000"/>
            <a:lumOff val="85000"/>
          </a:schemeClr>
        </a:solidFill>
        <a:round/>
      </a:ln>
    </cs:spPr>
    <cs:defRPr sz="900" kern="1200"/>
  </cs:seriesAxis>
  <cs:seriesLine>
    <cs:lnRef idx="0"/>
    <cs:fillRef idx="0"/>
    <cs:effectRef idx="0"/>
    <cs:fontRef idx="minor">
      <a:schemeClr val="tx2"/>
    </cs:fontRef>
    <cs:spPr>
      <a:ln w="9525">
        <a:solidFill>
          <a:schemeClr val="tx2">
            <a:lumMod val="60000"/>
            <a:lumOff val="40000"/>
          </a:schemeClr>
        </a:solidFill>
        <a:prstDash val="dash"/>
      </a:ln>
    </cs:spPr>
  </cs:seriesLine>
  <cs:title>
    <cs:lnRef idx="0"/>
    <cs:fillRef idx="0"/>
    <cs:effectRef idx="0"/>
    <cs:fontRef idx="minor">
      <a:schemeClr val="tx2"/>
    </cs:fontRef>
    <cs:defRPr sz="1600" b="1" kern="1200"/>
  </cs:title>
  <cs:trendline>
    <cs:lnRef idx="0">
      <cs:styleClr val="auto"/>
    </cs:lnRef>
    <cs:fillRef idx="0"/>
    <cs:effectRef idx="0"/>
    <cs:fontRef idx="minor">
      <a:schemeClr val="tx2"/>
    </cs:fontRef>
    <cs:spPr>
      <a:ln w="19050" cap="rnd">
        <a:solidFill>
          <a:schemeClr val="phClr"/>
        </a:solidFill>
        <a:prstDash val="sysDash"/>
      </a:ln>
    </cs:spPr>
  </cs:trendline>
  <cs:trendlineLabel>
    <cs:lnRef idx="0"/>
    <cs:fillRef idx="0"/>
    <cs:effectRef idx="0"/>
    <cs:fontRef idx="minor">
      <a:schemeClr val="tx2"/>
    </cs:fontRef>
    <cs:defRPr sz="900" kern="1200"/>
  </cs:trendlineLabel>
  <cs:upBar>
    <cs:lnRef idx="0"/>
    <cs:fillRef idx="0"/>
    <cs:effectRef idx="0"/>
    <cs:fontRef idx="minor">
      <a:schemeClr val="tx2"/>
    </cs:fontRef>
    <cs:spPr>
      <a:solidFill>
        <a:schemeClr val="lt1"/>
      </a:solidFill>
      <a:ln w="9525">
        <a:solidFill>
          <a:schemeClr val="tx1">
            <a:lumMod val="15000"/>
            <a:lumOff val="85000"/>
          </a:schemeClr>
        </a:solidFill>
      </a:ln>
    </cs:spPr>
  </cs:upBar>
  <cs:valueAxis>
    <cs:lnRef idx="0"/>
    <cs:fillRef idx="0"/>
    <cs:effectRef idx="0"/>
    <cs:fontRef idx="minor">
      <a:schemeClr val="tx2"/>
    </cs:fontRef>
    <cs:defRPr sz="900" kern="1200"/>
  </cs:valueAxis>
  <cs:wall>
    <cs:lnRef idx="0"/>
    <cs:fillRef idx="0"/>
    <cs:effectRef idx="0"/>
    <cs:fontRef idx="minor">
      <a:schemeClr val="tx2"/>
    </cs:fontRef>
  </cs:wall>
</cs:chartStyle>
</file>

<file path=xl/drawings/_rels/drawing1.xml.rels><?xml version="1.0" encoding="UTF-8" standalone="yes"?>
<Relationships xmlns="http://schemas.openxmlformats.org/package/2006/relationships"><Relationship Id="rId1" Type="http://schemas.openxmlformats.org/officeDocument/2006/relationships/chart" Target="../charts/chart1.xml"/></Relationships>
</file>

<file path=xl/drawings/drawing1.xml><?xml version="1.0" encoding="utf-8"?>
<xdr:wsDr xmlns:xdr="http://schemas.openxmlformats.org/drawingml/2006/spreadsheetDrawing" xmlns:a="http://schemas.openxmlformats.org/drawingml/2006/main">
  <xdr:twoCellAnchor>
    <xdr:from>
      <xdr:col>12</xdr:col>
      <xdr:colOff>31750</xdr:colOff>
      <xdr:row>108</xdr:row>
      <xdr:rowOff>33337</xdr:rowOff>
    </xdr:from>
    <xdr:to>
      <xdr:col>17</xdr:col>
      <xdr:colOff>1571625</xdr:colOff>
      <xdr:row>125</xdr:row>
      <xdr:rowOff>206374</xdr:rowOff>
    </xdr:to>
    <xdr:graphicFrame macro="">
      <xdr:nvGraphicFramePr>
        <xdr:cNvPr id="2" name="Chart 1">
          <a:extLst>
            <a:ext uri="{FF2B5EF4-FFF2-40B4-BE49-F238E27FC236}">
              <a16:creationId xmlns:a16="http://schemas.microsoft.com/office/drawing/2014/main" id="{E11851DD-C07B-007E-365F-7454EB56DD68}"/>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externalLinks/_rels/externalLink1.xml.rels><?xml version="1.0" encoding="UTF-8" standalone="yes"?>
<Relationships xmlns="http://schemas.openxmlformats.org/package/2006/relationships"><Relationship Id="rId2" Type="http://schemas.openxmlformats.org/officeDocument/2006/relationships/externalLinkPath" Target="/Users/bina/Documents/financial-modeling/Dashboard.xlsx" TargetMode="External"/><Relationship Id="rId1" Type="http://schemas.openxmlformats.org/officeDocument/2006/relationships/externalLinkPath" Target="/Users/bina/Documents/financial-modeling/Dashboard.xlsx"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xxl21:alternateUrls>
      <xxl21:absoluteUrl r:id="rId2"/>
    </xxl21:alternateUrls>
    <sheetNames>
      <sheetName val="Treasuries"/>
      <sheetName val="Hardware"/>
      <sheetName val="Software"/>
      <sheetName val="Consumer"/>
      <sheetName val="Financial Services"/>
      <sheetName val="Healthcare"/>
      <sheetName val="Industrials"/>
      <sheetName val="Real Estate"/>
      <sheetName val="Fashion + Beauty"/>
      <sheetName val="My Stocks"/>
      <sheetName val="Compounders"/>
      <sheetName val="GARP"/>
      <sheetName val="Value"/>
      <sheetName val="Aggressive Growth"/>
      <sheetName val="Other"/>
      <sheetName val="Short List"/>
    </sheetNames>
    <sheetDataSet>
      <sheetData sheetId="0">
        <row r="8">
          <cell r="C8">
            <v>4.0480000000000002E-2</v>
          </cell>
        </row>
      </sheetData>
      <sheetData sheetId="1"/>
      <sheetData sheetId="2"/>
      <sheetData sheetId="3"/>
      <sheetData sheetId="4"/>
      <sheetData sheetId="5"/>
      <sheetData sheetId="6"/>
      <sheetData sheetId="7"/>
      <sheetData sheetId="8"/>
      <sheetData sheetId="9"/>
      <sheetData sheetId="10"/>
      <sheetData sheetId="11"/>
      <sheetData sheetId="12"/>
      <sheetData sheetId="13"/>
      <sheetData sheetId="14"/>
      <sheetData sheetId="15"/>
    </sheetDataSet>
  </externalBook>
</externalLink>
</file>

<file path=xl/richData/rdRichValueTypes.xml><?xml version="1.0" encoding="utf-8"?>
<rvTypesInfo xmlns="http://schemas.microsoft.com/office/spreadsheetml/2017/richdata2" xmlns:mc="http://schemas.openxmlformats.org/markup-compatibility/2006" xmlns:x="http://schemas.openxmlformats.org/spreadsheetml/2006/main" mc:Ignorable="x">
  <global>
    <keyFlags>
      <key name="_Self">
        <flag name="ExcludeFromFile" value="1"/>
        <flag name="ExcludeFromCalcComparison" value="1"/>
      </key>
      <key name="_DisplayString">
        <flag name="ExcludeFromCalcComparison" value="1"/>
      </key>
      <key name="_Flags">
        <flag name="ExcludeFromCalcComparison" value="1"/>
      </key>
      <key name="_Format">
        <flag name="ExcludeFromCalcComparison" value="1"/>
      </key>
      <key name="_SubLabel">
        <flag name="ExcludeFromCalcComparison" value="1"/>
      </key>
      <key name="_Attribution">
        <flag name="ExcludeFromCalcComparison" value="1"/>
      </key>
      <key name="_Icon">
        <flag name="ExcludeFromCalcComparison" value="1"/>
      </key>
      <key name="_Display">
        <flag name="ExcludeFromCalcComparison" value="1"/>
      </key>
      <key name="_CanonicalPropertyNames">
        <flag name="ExcludeFromCalcComparison" value="1"/>
      </key>
      <key name="_ClassificationId">
        <flag name="ExcludeFromCalcComparison" value="1"/>
      </key>
    </keyFlags>
  </global>
  <types>
    <type name="_linkedentity">
      <keyFlags>
        <key name="%cvi">
          <flag name="ShowInCardView" value="0"/>
          <flag name="ShowInDotNotation" value="0"/>
          <flag name="ShowInAutoComplete" value="0"/>
          <flag name="ExcludeFromCalcComparison" value="1"/>
        </key>
      </keyFlags>
    </type>
    <type name="_linkedentitycore">
      <keyFlags>
        <key name="%EntityServiceId">
          <flag name="ShowInCardView" value="0"/>
          <flag name="ShowInDotNotation" value="0"/>
          <flag name="ShowInAutoComplete" value="0"/>
        </key>
        <key name="%EntitySubDomainId">
          <flag name="ShowInCardView" value="0"/>
          <flag name="ShowInDotNotation" value="0"/>
          <flag name="ShowInAutoComplete" value="0"/>
        </key>
        <key name="%EntityCulture">
          <flag name="ShowInCardView" value="0"/>
          <flag name="ShowInDotNotation" value="0"/>
          <flag name="ShowInAutoComplete" value="0"/>
        </key>
        <key name="%EntityId">
          <flag name="ShowInCardView" value="0"/>
          <flag name="ShowInDotNotation" value="0"/>
          <flag name="ShowInAutoComplete" value="0"/>
        </key>
        <key name="%IsRefreshable">
          <flag name="ShowInCardView" value="0"/>
          <flag name="ShowInAutoComplete" value="0"/>
          <flag name="ExcludeFromCalcComparison" value="1"/>
        </key>
        <key name="%ProviderInfo">
          <flag name="ShowInCardView" value="0"/>
          <flag name="ShowInDotNotation" value="0"/>
          <flag name="ShowInAutoComplete" value="0"/>
        </key>
        <key name="%DataProviderExternalLinkLogo">
          <flag name="ShowInCardView" value="0"/>
          <flag name="ShowInDotNotation" value="0"/>
          <flag name="ShowInAutoComplete" value="0"/>
        </key>
        <key name="%DataProviderExternalLink">
          <flag name="ShowInCardView" value="0"/>
          <flag name="ShowInDotNotation" value="0"/>
          <flag name="ShowInAutoComplete" value="0"/>
        </key>
        <key name="%OutdatedReason">
          <flag name="ShowInCardView" value="0"/>
          <flag name="ShowInDotNotation" value="0"/>
          <flag name="ShowInAutoComplete" value="0"/>
          <flag name="ExcludeFromCalcComparison" value="1"/>
        </key>
      </keyFlags>
    </type>
  </types>
</rvTypesInfo>
</file>

<file path=xl/richData/rdrichvalue.xml><?xml version="1.0" encoding="utf-8"?>
<rvData xmlns="http://schemas.microsoft.com/office/spreadsheetml/2017/richdata" count="3">
  <rv s="0">
    <v>https://www.bing.com/financeapi/forcetrigger?t=b1ao52&amp;q=XAMS%3aADYEN&amp;form=skydnc</v>
    <v>Learn more on Bing</v>
  </rv>
  <rv s="1">
    <v>0</v>
    <v>Adyen NV (XAMS:ADYEN)</v>
    <v>2</v>
    <v>3</v>
    <v>Finance</v>
    <v>4</v>
    <v>en-US</v>
    <v>b1ao52</v>
    <v>268435456</v>
    <v>1</v>
    <v>Powered by Refinitiv</v>
    <v>1893</v>
    <v>1198</v>
    <v>1.3108</v>
    <v>-2.2000000000000002</v>
    <v>-1.4920000000000001E-3</v>
    <v>EUR</v>
    <v>Adyen NV, formerly Adyen BV, is provider of mobile, online and point-of-sale (POS) payment solutions based in the Netherlands. It operates an online platform enabling merchants to accept payments internationally and from all sales channels, such as online shops, mobile payments from applications and Websites, and POS, such as countertops, mobile terminals, tablets and cash registers, among others. The platform covers the entire payment chain, including technical, contractual, reconciliation and settlement processes. The platform is available in the form of ready-to-use payment pages (HPP), application programming interface (API), and client-side encryption solution (EE). The Company’s customers include Mango, KLM, Netflix, Superdry, Uber, Groupon and Crocs, among others. It has offices in the Netherlands, the United Kingdom, France, Germany, Belgium, Brazil, China, Australia, Mexico, Singapore, Spain, Sweden and the United States.</v>
    <v>3332</v>
    <v>Euronext Amsterdam</v>
    <v>XAMS</v>
    <v>XAMS</v>
    <v>Simon Carmiggeltstraat 6-50, AMSTERDAM, NOORD-HOLLAND, 1011 DJ NL</v>
    <v>1495.2</v>
    <v>Financial Technology (Fintech) &amp; Infrastructure</v>
    <v>Stock</v>
    <v>45118.383587962962</v>
    <v>0</v>
    <v>1466.8</v>
    <v>45337710000</v>
    <v>Adyen NV</v>
    <v>Adyen NV</v>
    <v>1483.2</v>
    <v>80.990099999999998</v>
    <v>1475</v>
    <v>1472.8</v>
    <v>31010750</v>
    <v>ADYEN</v>
    <v>Adyen NV (XAMS:ADYEN)</v>
    <v>7172</v>
    <v>59300</v>
    <v>2006</v>
  </rv>
  <rv s="2">
    <v>1</v>
  </rv>
</rvData>
</file>

<file path=xl/richData/rdrichvaluestructure.xml><?xml version="1.0" encoding="utf-8"?>
<rvStructures xmlns="http://schemas.microsoft.com/office/spreadsheetml/2017/richdata" count="3">
  <s t="_hyperlink">
    <k n="Address" t="s"/>
    <k n="Text" t="s"/>
  </s>
  <s t="_linkedentitycore">
    <k n="_Display" t="spb"/>
    <k n="_DisplayString" t="s"/>
    <k n="_Flags" t="spb"/>
    <k n="_Format" t="spb"/>
    <k n="_Icon" t="s"/>
    <k n="_SubLabel" t="spb"/>
    <k n="%EntityCulture" t="s"/>
    <k n="%EntityId" t="s"/>
    <k n="%EntityServiceId"/>
    <k n="%IsRefreshable" t="b"/>
    <k n="%ProviderInfo" t="s"/>
    <k n="52 week high"/>
    <k n="52 week low"/>
    <k n="Beta"/>
    <k n="Change"/>
    <k n="Change (%)"/>
    <k n="Currency" t="s"/>
    <k n="Description" t="s"/>
    <k n="Employees"/>
    <k n="Exchange" t="s"/>
    <k n="Exchange abbreviation" t="s"/>
    <k n="ExchangeID" t="s"/>
    <k n="Headquarters" t="s"/>
    <k n="High"/>
    <k n="Industry" t="s"/>
    <k n="Instrument type" t="s"/>
    <k n="Last trade time"/>
    <k n="LearnMoreOnLink" t="r"/>
    <k n="Low"/>
    <k n="Market cap"/>
    <k n="Name" t="s"/>
    <k n="Official name" t="s"/>
    <k n="Open"/>
    <k n="P/E"/>
    <k n="Previous close"/>
    <k n="Price"/>
    <k n="Shares outstanding"/>
    <k n="Ticker symbol" t="s"/>
    <k n="UniqueName" t="s"/>
    <k n="Volume"/>
    <k n="Volume average"/>
    <k n="Year incorporated"/>
  </s>
  <s t="_linkedentity">
    <k n="%cvi" t="r"/>
  </s>
</rvStructures>
</file>

<file path=xl/richData/rdsupportingpropertybag.xml><?xml version="1.0" encoding="utf-8"?>
<supportingPropertyBags xmlns="http://schemas.microsoft.com/office/spreadsheetml/2017/richdata2">
  <spbArrays count="1">
    <a count="42">
      <v t="s">%EntityServiceId</v>
      <v t="s">_Format</v>
      <v t="s">%IsRefreshable</v>
      <v t="s">%EntityCulture</v>
      <v t="s">%EntityId</v>
      <v t="s">_Icon</v>
      <v t="s">_Display</v>
      <v t="s">Name</v>
      <v t="s">_SubLabel</v>
      <v t="s">Price</v>
      <v t="s">Exchange</v>
      <v t="s">Official name</v>
      <v t="s">Last trade time</v>
      <v t="s">Ticker symbol</v>
      <v t="s">Exchange abbreviation</v>
      <v t="s">Change</v>
      <v t="s">Change (%)</v>
      <v t="s">Currency</v>
      <v t="s">Previous close</v>
      <v t="s">Open</v>
      <v t="s">High</v>
      <v t="s">Low</v>
      <v t="s">52 week high</v>
      <v t="s">52 week low</v>
      <v t="s">Volume</v>
      <v t="s">Volume average</v>
      <v t="s">Market cap</v>
      <v t="s">Beta</v>
      <v t="s">P/E</v>
      <v t="s">Shares outstanding</v>
      <v t="s">Description</v>
      <v t="s">Employees</v>
      <v t="s">Headquarters</v>
      <v t="s">Industry</v>
      <v t="s">Instrument type</v>
      <v t="s">Year incorporated</v>
      <v t="s">_Flags</v>
      <v t="s">UniqueName</v>
      <v t="s">_DisplayString</v>
      <v t="s">LearnMoreOnLink</v>
      <v t="s">ExchangeID</v>
      <v t="s">%ProviderInfo</v>
    </a>
  </spbArrays>
  <spbData count="5">
    <spb s="0">
      <v>0</v>
      <v>Name</v>
      <v>LearnMoreOnLink</v>
    </spb>
    <spb s="1">
      <v>0</v>
      <v>0</v>
      <v>0</v>
    </spb>
    <spb s="2">
      <v>1</v>
      <v>1</v>
      <v>1</v>
      <v>1</v>
    </spb>
    <spb s="3">
      <v>1</v>
      <v>2</v>
      <v>2</v>
      <v>1</v>
      <v>3</v>
      <v>1</v>
      <v>1</v>
      <v>1</v>
      <v>4</v>
      <v>4</v>
      <v>5</v>
      <v>6</v>
      <v>1</v>
      <v>1</v>
      <v>1</v>
      <v>4</v>
      <v>7</v>
      <v>8</v>
      <v>9</v>
      <v>4</v>
    </spb>
    <spb s="4">
      <v>Delayed 15 minutes</v>
      <v>from previous close</v>
      <v>from previous close</v>
      <v>GMT</v>
    </spb>
  </spbData>
</supportingPropertyBags>
</file>

<file path=xl/richData/rdsupportingpropertybagstructure.xml><?xml version="1.0" encoding="utf-8"?>
<spbStructures xmlns="http://schemas.microsoft.com/office/spreadsheetml/2017/richdata2" count="5">
  <s>
    <k n="^Order" t="spba"/>
    <k n="TitleProperty" t="s"/>
    <k n="SubTitleProperty" t="s"/>
  </s>
  <s>
    <k n="ShowInCardView" t="b"/>
    <k n="ShowInDotNotation" t="b"/>
    <k n="ShowInAutoComplete" t="b"/>
  </s>
  <s>
    <k n="ExchangeID" t="spb"/>
    <k n="UniqueName" t="spb"/>
    <k n="`%ProviderInfo" t="spb"/>
    <k n="LearnMoreOnLink" t="spb"/>
  </s>
  <s>
    <k n="Low" t="i"/>
    <k n="P/E" t="i"/>
    <k n="Beta" t="i"/>
    <k n="High" t="i"/>
    <k n="Name" t="i"/>
    <k n="Open" t="i"/>
    <k n="Price" t="i"/>
    <k n="Change" t="i"/>
    <k n="Volume" t="i"/>
    <k n="Employees" t="i"/>
    <k n="Change (%)" t="i"/>
    <k n="Market cap" t="i"/>
    <k n="52 week low" t="i"/>
    <k n="52 week high" t="i"/>
    <k n="Previous close" t="i"/>
    <k n="Volume average" t="i"/>
    <k n="Last trade time" t="i"/>
    <k n="Year incorporated" t="i"/>
    <k n="`%EntityServiceId" t="i"/>
    <k n="Shares outstanding" t="i"/>
  </s>
  <s>
    <k n="Price" t="s"/>
    <k n="Change" t="s"/>
    <k n="Change (%)" t="s"/>
    <k n="Last trade time" t="s"/>
  </s>
</spbStructures>
</file>

<file path=xl/richData/richStyles.xml><?xml version="1.0" encoding="utf-8"?>
<richStyleSheet xmlns="http://schemas.microsoft.com/office/spreadsheetml/2017/richdata2" xmlns:mc="http://schemas.openxmlformats.org/markup-compatibility/2006" xmlns:x="http://schemas.openxmlformats.org/spreadsheetml/2006/main" mc:Ignorable="x">
  <dxfs count="7">
    <x:dxf>
      <x:numFmt numFmtId="2" formatCode="0.00"/>
    </x:dxf>
    <x:dxf>
      <x:numFmt numFmtId="0" formatCode="General"/>
    </x:dxf>
    <x:dxf>
      <x:numFmt numFmtId="27" formatCode="m/d/yy\ h:mm"/>
    </x:dxf>
    <x:dxf>
      <x:numFmt numFmtId="14" formatCode="0.00%"/>
    </x:dxf>
    <x:dxf>
      <x:numFmt numFmtId="3" formatCode="#,##0"/>
    </x:dxf>
    <x:dxf>
      <x:numFmt numFmtId="4" formatCode="#,##0.00"/>
    </x:dxf>
    <x:dxf>
      <x:numFmt numFmtId="1" formatCode="0"/>
    </x:dxf>
  </dxfs>
  <richProperties>
    <rPr n="NumberFormat" t="s"/>
    <rPr n="IsTitleField" t="b"/>
  </richProperties>
  <richStyles>
    <rSty dxfid="1">
      <rpv i="0">_([$€-x-euro2] * #,##0.00_);_([$€-x-euro2] * (#,##0.00);_([$€-x-euro2] * "-"??_);_(@_)</rpv>
    </rSty>
    <rSty dxfid="5">
      <rpv i="0">#,##0.00</rpv>
    </rSty>
    <rSty>
      <rpv i="1">1</rpv>
    </rSty>
    <rSty dxfid="4">
      <rpv i="0">#,##0</rpv>
    </rSty>
    <rSty dxfid="3"/>
    <rSty dxfid="1">
      <rpv i="0">_([$€-x-euro2] * #,##0_);_([$€-x-euro2] * (#,##0);_([$€-x-euro2] * "-"_);_(@_)</rpv>
    </rSty>
    <rSty dxfid="2"/>
    <rSty dxfid="6">
      <rpv i="0">0</rpv>
    </rSty>
    <rSty dxfid="0">
      <rpv i="0">0.00</rpv>
    </rSty>
  </richStyles>
</richStyleSheet>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8" Type="http://schemas.openxmlformats.org/officeDocument/2006/relationships/hyperlink" Target="https://sec.gov/" TargetMode="External"/><Relationship Id="rId13" Type="http://schemas.openxmlformats.org/officeDocument/2006/relationships/hyperlink" Target="https://sec.gov/" TargetMode="External"/><Relationship Id="rId18" Type="http://schemas.openxmlformats.org/officeDocument/2006/relationships/hyperlink" Target="https://adyen.getbynder.com/m/62ef2a84c324451f/original/2022-Annual-Report-Consolidated-Financial-Statements.pdf" TargetMode="External"/><Relationship Id="rId3" Type="http://schemas.openxmlformats.org/officeDocument/2006/relationships/hyperlink" Target="https://sec.gov/" TargetMode="External"/><Relationship Id="rId21" Type="http://schemas.openxmlformats.org/officeDocument/2006/relationships/hyperlink" Target="https://finbox.com/NASDAQGS:MBLY/explorer/fcf_unlev_proj" TargetMode="External"/><Relationship Id="rId7" Type="http://schemas.openxmlformats.org/officeDocument/2006/relationships/hyperlink" Target="https://sec.gov/" TargetMode="External"/><Relationship Id="rId12" Type="http://schemas.openxmlformats.org/officeDocument/2006/relationships/hyperlink" Target="https://sec.gov/" TargetMode="External"/><Relationship Id="rId17" Type="http://schemas.openxmlformats.org/officeDocument/2006/relationships/hyperlink" Target="https://sec.gov/" TargetMode="External"/><Relationship Id="rId2" Type="http://schemas.openxmlformats.org/officeDocument/2006/relationships/hyperlink" Target="https://sec.gov/" TargetMode="External"/><Relationship Id="rId16" Type="http://schemas.openxmlformats.org/officeDocument/2006/relationships/hyperlink" Target="https://sec.gov/" TargetMode="External"/><Relationship Id="rId20" Type="http://schemas.openxmlformats.org/officeDocument/2006/relationships/hyperlink" Target="https://finbox.com/ENXTAM:ADYEN/explorer/revenue_proj/" TargetMode="External"/><Relationship Id="rId1" Type="http://schemas.openxmlformats.org/officeDocument/2006/relationships/hyperlink" Target="https://roic.ai/company/ADYEN.AS" TargetMode="External"/><Relationship Id="rId6" Type="http://schemas.openxmlformats.org/officeDocument/2006/relationships/hyperlink" Target="https://sec.gov/" TargetMode="External"/><Relationship Id="rId11" Type="http://schemas.openxmlformats.org/officeDocument/2006/relationships/hyperlink" Target="https://sec.gov/" TargetMode="External"/><Relationship Id="rId5" Type="http://schemas.openxmlformats.org/officeDocument/2006/relationships/hyperlink" Target="https://sec.gov/" TargetMode="External"/><Relationship Id="rId15" Type="http://schemas.openxmlformats.org/officeDocument/2006/relationships/hyperlink" Target="https://sec.gov/" TargetMode="External"/><Relationship Id="rId10" Type="http://schemas.openxmlformats.org/officeDocument/2006/relationships/hyperlink" Target="https://sec.gov/" TargetMode="External"/><Relationship Id="rId19" Type="http://schemas.openxmlformats.org/officeDocument/2006/relationships/hyperlink" Target="https://adyen.getbynder.com/m/62ef2a84c324451f/original/2022-Annual-Report-Consolidated-Financial-Statements.pdf" TargetMode="External"/><Relationship Id="rId4" Type="http://schemas.openxmlformats.org/officeDocument/2006/relationships/hyperlink" Target="https://sec.gov/" TargetMode="External"/><Relationship Id="rId9" Type="http://schemas.openxmlformats.org/officeDocument/2006/relationships/hyperlink" Target="https://sec.gov/" TargetMode="External"/><Relationship Id="rId14" Type="http://schemas.openxmlformats.org/officeDocument/2006/relationships/hyperlink" Target="https://sec.gov/" TargetMode="External"/><Relationship Id="rId22"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L118"/>
  <sheetViews>
    <sheetView tabSelected="1" zoomScale="80" zoomScaleNormal="80" workbookViewId="0">
      <pane xSplit="1" ySplit="1" topLeftCell="G2" activePane="bottomRight" state="frozen"/>
      <selection pane="topRight"/>
      <selection pane="bottomLeft"/>
      <selection pane="bottomRight" activeCell="M10" sqref="M10"/>
    </sheetView>
  </sheetViews>
  <sheetFormatPr baseColWidth="10" defaultRowHeight="16" x14ac:dyDescent="0.2"/>
  <cols>
    <col min="1" max="1" width="50" customWidth="1"/>
    <col min="2" max="10" width="15" customWidth="1"/>
    <col min="11" max="19" width="21" customWidth="1"/>
  </cols>
  <sheetData>
    <row r="1" spans="1:38" ht="22" thickBot="1" x14ac:dyDescent="0.3">
      <c r="A1" s="3" t="e" vm="1">
        <v>#VALUE!</v>
      </c>
      <c r="B1" s="8">
        <v>2014</v>
      </c>
      <c r="C1" s="8">
        <v>2015</v>
      </c>
      <c r="D1" s="8">
        <v>2016</v>
      </c>
      <c r="E1" s="8">
        <v>2017</v>
      </c>
      <c r="F1" s="8">
        <v>2018</v>
      </c>
      <c r="G1" s="8">
        <v>2019</v>
      </c>
      <c r="H1" s="8">
        <v>2020</v>
      </c>
      <c r="I1" s="8">
        <v>2021</v>
      </c>
      <c r="J1" s="8">
        <v>2022</v>
      </c>
      <c r="K1" s="24">
        <v>2023</v>
      </c>
      <c r="L1" s="24">
        <v>2024</v>
      </c>
      <c r="M1" s="24">
        <v>2025</v>
      </c>
      <c r="N1" s="24">
        <v>2026</v>
      </c>
      <c r="O1" s="24">
        <v>2027</v>
      </c>
    </row>
    <row r="2" spans="1:38" ht="21" x14ac:dyDescent="0.25">
      <c r="A2" s="4" t="s">
        <v>0</v>
      </c>
      <c r="B2" s="9" t="s">
        <v>90</v>
      </c>
      <c r="C2" s="9" t="s">
        <v>90</v>
      </c>
      <c r="D2" s="9" t="s">
        <v>90</v>
      </c>
      <c r="E2" s="9" t="s">
        <v>90</v>
      </c>
      <c r="F2" s="9" t="s">
        <v>90</v>
      </c>
      <c r="G2" s="9" t="s">
        <v>90</v>
      </c>
      <c r="H2" s="9" t="s">
        <v>90</v>
      </c>
      <c r="I2" s="9" t="s">
        <v>90</v>
      </c>
      <c r="J2" s="9" t="s">
        <v>90</v>
      </c>
      <c r="K2" s="9" t="s">
        <v>90</v>
      </c>
      <c r="L2" s="9" t="s">
        <v>90</v>
      </c>
      <c r="M2" s="9" t="s">
        <v>90</v>
      </c>
      <c r="N2" s="9"/>
      <c r="O2" s="9"/>
      <c r="P2" s="9"/>
      <c r="Q2" s="9"/>
      <c r="R2" s="9"/>
      <c r="S2" s="9"/>
    </row>
    <row r="3" spans="1:38" ht="40" x14ac:dyDescent="0.25">
      <c r="A3" s="5" t="s">
        <v>1</v>
      </c>
      <c r="B3" s="1">
        <v>153675000</v>
      </c>
      <c r="C3" s="1">
        <v>331101000</v>
      </c>
      <c r="D3" s="1">
        <v>659361000</v>
      </c>
      <c r="E3" s="1">
        <v>1012440000</v>
      </c>
      <c r="F3" s="1">
        <v>1652948000</v>
      </c>
      <c r="G3" s="1">
        <v>2656774000</v>
      </c>
      <c r="H3" s="1">
        <v>3641389000</v>
      </c>
      <c r="I3" s="1">
        <v>5995419000</v>
      </c>
      <c r="J3" s="1">
        <v>8935661000</v>
      </c>
      <c r="K3" s="25">
        <v>11600000000</v>
      </c>
      <c r="L3" s="25">
        <v>14500000000</v>
      </c>
      <c r="M3" s="25">
        <v>17800000000</v>
      </c>
      <c r="N3" s="25">
        <v>21000000000</v>
      </c>
      <c r="O3" s="25">
        <v>23500000000</v>
      </c>
      <c r="P3" s="19" t="s">
        <v>107</v>
      </c>
      <c r="Q3" s="20" t="s">
        <v>108</v>
      </c>
      <c r="R3" s="20" t="s">
        <v>109</v>
      </c>
      <c r="S3" s="20" t="s">
        <v>110</v>
      </c>
    </row>
    <row r="4" spans="1:38" ht="19" x14ac:dyDescent="0.25">
      <c r="A4" s="14" t="s">
        <v>93</v>
      </c>
      <c r="B4" s="1"/>
      <c r="C4" s="15">
        <f>(C3/B3)-1</f>
        <v>1.1545534407027818</v>
      </c>
      <c r="D4" s="15">
        <f>(D3/C3)-1</f>
        <v>0.991419536636857</v>
      </c>
      <c r="E4" s="15">
        <f>(E3/D3)-1</f>
        <v>0.53548663023745724</v>
      </c>
      <c r="F4" s="15">
        <f t="shared" ref="F4:O4" si="0">(F3/E3)-1</f>
        <v>0.6326379834854412</v>
      </c>
      <c r="G4" s="16">
        <f t="shared" si="0"/>
        <v>0.60729436134712045</v>
      </c>
      <c r="H4" s="16">
        <f t="shared" si="0"/>
        <v>0.37060547867451277</v>
      </c>
      <c r="I4" s="16">
        <f t="shared" si="0"/>
        <v>0.64646485173652146</v>
      </c>
      <c r="J4" s="16">
        <f t="shared" si="0"/>
        <v>0.49041476500641568</v>
      </c>
      <c r="K4" s="16">
        <f t="shared" si="0"/>
        <v>0.29816921210417457</v>
      </c>
      <c r="L4" s="16">
        <f t="shared" si="0"/>
        <v>0.25</v>
      </c>
      <c r="M4" s="16">
        <f t="shared" si="0"/>
        <v>0.22758620689655173</v>
      </c>
      <c r="N4" s="16">
        <f t="shared" si="0"/>
        <v>0.1797752808988764</v>
      </c>
      <c r="O4" s="16">
        <f t="shared" si="0"/>
        <v>0.11904761904761907</v>
      </c>
      <c r="P4" s="17">
        <f>(J4+I4+H4)/3</f>
        <v>0.50249503180581667</v>
      </c>
      <c r="Q4" s="17">
        <f>(J20+I20+H20)/3</f>
        <v>0.37124257432747187</v>
      </c>
      <c r="R4" s="17">
        <f>(J29+I29+H29)/3</f>
        <v>0.42661007980416271</v>
      </c>
      <c r="S4" s="17">
        <f>(J106+I106+H106)/3</f>
        <v>0.61986823351112186</v>
      </c>
      <c r="AB4" s="16"/>
      <c r="AC4" s="16"/>
      <c r="AD4" s="16"/>
      <c r="AE4" s="16"/>
      <c r="AF4" s="16"/>
      <c r="AI4" s="18"/>
      <c r="AJ4" s="18"/>
      <c r="AK4" s="18"/>
      <c r="AL4" s="18"/>
    </row>
    <row r="5" spans="1:38" ht="19" x14ac:dyDescent="0.25">
      <c r="A5" s="5" t="s">
        <v>2</v>
      </c>
      <c r="B5" s="1">
        <v>106899000</v>
      </c>
      <c r="C5" s="1">
        <v>232651000</v>
      </c>
      <c r="D5" s="1">
        <v>501376000</v>
      </c>
      <c r="E5" s="1">
        <v>794162000</v>
      </c>
      <c r="F5" s="1">
        <v>1304035000</v>
      </c>
      <c r="G5" s="1">
        <v>2160093000</v>
      </c>
      <c r="H5" s="1">
        <v>2957189000</v>
      </c>
      <c r="I5" s="1">
        <v>4993902000</v>
      </c>
      <c r="J5" s="1">
        <v>7605445000</v>
      </c>
    </row>
    <row r="6" spans="1:38" ht="20" x14ac:dyDescent="0.25">
      <c r="A6" s="6" t="s">
        <v>3</v>
      </c>
      <c r="B6" s="10">
        <v>46776000</v>
      </c>
      <c r="C6" s="10">
        <v>98450000</v>
      </c>
      <c r="D6" s="10">
        <v>157985000</v>
      </c>
      <c r="E6" s="10">
        <v>218278000</v>
      </c>
      <c r="F6" s="10">
        <v>348913000</v>
      </c>
      <c r="G6" s="10">
        <v>496681000</v>
      </c>
      <c r="H6" s="10">
        <v>684200000</v>
      </c>
      <c r="I6" s="10">
        <v>1001517000</v>
      </c>
      <c r="J6" s="10">
        <f>J3-J5</f>
        <v>1330216000</v>
      </c>
      <c r="P6" s="19" t="s">
        <v>111</v>
      </c>
      <c r="Q6" s="20" t="s">
        <v>112</v>
      </c>
      <c r="R6" s="20" t="s">
        <v>113</v>
      </c>
      <c r="S6" s="20" t="s">
        <v>114</v>
      </c>
    </row>
    <row r="7" spans="1:38" ht="19" x14ac:dyDescent="0.25">
      <c r="A7" s="5" t="s">
        <v>4</v>
      </c>
      <c r="B7" s="2">
        <v>0.3044</v>
      </c>
      <c r="C7" s="2">
        <v>0.29730000000000001</v>
      </c>
      <c r="D7" s="2">
        <v>0.23960000000000001</v>
      </c>
      <c r="E7" s="2">
        <v>0.21560000000000001</v>
      </c>
      <c r="F7" s="2">
        <v>0.21110000000000001</v>
      </c>
      <c r="G7" s="2">
        <v>0.18690000000000001</v>
      </c>
      <c r="H7" s="2">
        <v>0.18790000000000001</v>
      </c>
      <c r="I7" s="2">
        <v>0.16700000000000001</v>
      </c>
      <c r="J7" s="2">
        <f>J6/J3</f>
        <v>0.14886598764210057</v>
      </c>
      <c r="P7" s="17">
        <f>J7</f>
        <v>0.14886598764210057</v>
      </c>
      <c r="Q7" s="21">
        <f>J21</f>
        <v>7.755441930932698E-2</v>
      </c>
      <c r="R7" s="21">
        <f>J30</f>
        <v>6.3133438029934222E-2</v>
      </c>
      <c r="S7" s="21">
        <f>J107/J3</f>
        <v>0.2237103668100211</v>
      </c>
    </row>
    <row r="8" spans="1:38" ht="19" x14ac:dyDescent="0.25">
      <c r="A8" s="5" t="s">
        <v>5</v>
      </c>
      <c r="B8" s="1">
        <v>0</v>
      </c>
      <c r="C8" s="1">
        <v>0</v>
      </c>
      <c r="D8" s="1">
        <v>0</v>
      </c>
      <c r="E8" s="1">
        <v>0</v>
      </c>
      <c r="F8" s="1">
        <v>0</v>
      </c>
      <c r="G8" s="1">
        <v>0</v>
      </c>
      <c r="H8" s="1">
        <v>0</v>
      </c>
      <c r="I8" s="1">
        <v>0</v>
      </c>
      <c r="J8" s="1">
        <v>0</v>
      </c>
    </row>
    <row r="9" spans="1:38" ht="19" customHeight="1" x14ac:dyDescent="0.25">
      <c r="A9" s="14" t="s">
        <v>94</v>
      </c>
      <c r="B9" s="15">
        <f>B8/B3</f>
        <v>0</v>
      </c>
      <c r="C9" s="15">
        <f t="shared" ref="C9:J9" si="1">C8/C3</f>
        <v>0</v>
      </c>
      <c r="D9" s="15">
        <f t="shared" si="1"/>
        <v>0</v>
      </c>
      <c r="E9" s="15">
        <f t="shared" si="1"/>
        <v>0</v>
      </c>
      <c r="F9" s="15">
        <f t="shared" si="1"/>
        <v>0</v>
      </c>
      <c r="G9" s="15">
        <f t="shared" si="1"/>
        <v>0</v>
      </c>
      <c r="H9" s="15">
        <f t="shared" si="1"/>
        <v>0</v>
      </c>
      <c r="I9" s="15">
        <f t="shared" si="1"/>
        <v>0</v>
      </c>
      <c r="J9" s="15">
        <f t="shared" si="1"/>
        <v>0</v>
      </c>
      <c r="K9" s="15"/>
      <c r="L9" s="15"/>
      <c r="P9" s="19" t="s">
        <v>95</v>
      </c>
      <c r="Q9" s="20" t="s">
        <v>96</v>
      </c>
      <c r="R9" s="20" t="s">
        <v>97</v>
      </c>
      <c r="S9" s="20" t="s">
        <v>98</v>
      </c>
    </row>
    <row r="10" spans="1:38" ht="19" x14ac:dyDescent="0.25">
      <c r="A10" s="5" t="s">
        <v>6</v>
      </c>
      <c r="B10" s="1">
        <v>2838000</v>
      </c>
      <c r="C10" s="1">
        <v>332000</v>
      </c>
      <c r="D10" s="1">
        <v>393000</v>
      </c>
      <c r="E10" s="1">
        <v>908000</v>
      </c>
      <c r="F10" s="1" t="s">
        <v>91</v>
      </c>
      <c r="G10" s="1" t="s">
        <v>91</v>
      </c>
      <c r="H10" s="1" t="s">
        <v>91</v>
      </c>
      <c r="I10" s="1" t="s">
        <v>91</v>
      </c>
      <c r="J10" s="1" t="s">
        <v>91</v>
      </c>
      <c r="P10" s="17">
        <f>J9</f>
        <v>0</v>
      </c>
      <c r="Q10" s="21">
        <f>J13</f>
        <v>6.2256166611513123E-3</v>
      </c>
      <c r="R10" s="21">
        <f>J80</f>
        <v>7.8337797282148464E-4</v>
      </c>
      <c r="S10" s="21">
        <f>J89</f>
        <v>1.0695907107487627E-2</v>
      </c>
    </row>
    <row r="11" spans="1:38" ht="19" x14ac:dyDescent="0.25">
      <c r="A11" s="5" t="s">
        <v>7</v>
      </c>
      <c r="B11" s="1">
        <v>2641000</v>
      </c>
      <c r="C11" s="1">
        <v>4894000</v>
      </c>
      <c r="D11" s="1">
        <v>7658000</v>
      </c>
      <c r="E11" s="1">
        <v>14753000</v>
      </c>
      <c r="F11" s="1">
        <v>21320000</v>
      </c>
      <c r="G11" s="1">
        <v>32276000</v>
      </c>
      <c r="H11" s="1">
        <v>39612000</v>
      </c>
      <c r="I11" s="1">
        <v>36384000</v>
      </c>
      <c r="J11" s="1">
        <v>55630000</v>
      </c>
    </row>
    <row r="12" spans="1:38" ht="20" x14ac:dyDescent="0.25">
      <c r="A12" s="5" t="s">
        <v>8</v>
      </c>
      <c r="B12" s="1">
        <v>5479000</v>
      </c>
      <c r="C12" s="1">
        <v>5226000</v>
      </c>
      <c r="D12" s="1">
        <v>8051000</v>
      </c>
      <c r="E12" s="1">
        <v>15661000</v>
      </c>
      <c r="F12" s="1">
        <v>21320000</v>
      </c>
      <c r="G12" s="1">
        <v>32276000</v>
      </c>
      <c r="H12" s="1">
        <v>39612000</v>
      </c>
      <c r="I12" s="1">
        <v>36384000</v>
      </c>
      <c r="J12" s="1">
        <v>55630000</v>
      </c>
      <c r="P12" s="19" t="s">
        <v>115</v>
      </c>
      <c r="Q12" s="20" t="s">
        <v>116</v>
      </c>
      <c r="R12" s="20" t="s">
        <v>117</v>
      </c>
      <c r="S12" s="20" t="s">
        <v>118</v>
      </c>
    </row>
    <row r="13" spans="1:38" ht="19" x14ac:dyDescent="0.25">
      <c r="A13" s="14" t="s">
        <v>99</v>
      </c>
      <c r="B13" s="15">
        <f>B12/B3</f>
        <v>3.5653164145111438E-2</v>
      </c>
      <c r="C13" s="15">
        <f t="shared" ref="C13:J13" si="2">C12/C3</f>
        <v>1.5783703462085588E-2</v>
      </c>
      <c r="D13" s="15">
        <f t="shared" si="2"/>
        <v>1.2210306645373323E-2</v>
      </c>
      <c r="E13" s="15">
        <f t="shared" si="2"/>
        <v>1.5468570977045553E-2</v>
      </c>
      <c r="F13" s="15">
        <f t="shared" si="2"/>
        <v>1.2898167395465556E-2</v>
      </c>
      <c r="G13" s="15">
        <f t="shared" si="2"/>
        <v>1.2148568150697049E-2</v>
      </c>
      <c r="H13" s="15">
        <f t="shared" si="2"/>
        <v>1.08782665076431E-2</v>
      </c>
      <c r="I13" s="15">
        <f t="shared" si="2"/>
        <v>6.0686334016021234E-3</v>
      </c>
      <c r="J13" s="15">
        <f t="shared" si="2"/>
        <v>6.2256166611513123E-3</v>
      </c>
      <c r="K13" s="15"/>
      <c r="L13" s="15"/>
      <c r="P13" s="17">
        <f>J28/J72</f>
        <v>0.2338770325498172</v>
      </c>
      <c r="Q13" s="21">
        <f>J28/J54</f>
        <v>7.9479626881558185E-2</v>
      </c>
      <c r="R13" s="21">
        <f>J22/(J72+J56+J61)</f>
        <v>0.25415925643671916</v>
      </c>
      <c r="S13" s="22">
        <f>J67/J72</f>
        <v>1.9426035542208133</v>
      </c>
    </row>
    <row r="14" spans="1:38" ht="19" x14ac:dyDescent="0.25">
      <c r="A14" s="5" t="s">
        <v>9</v>
      </c>
      <c r="B14" s="1">
        <v>27663000</v>
      </c>
      <c r="C14" s="1">
        <v>52378000</v>
      </c>
      <c r="D14" s="1">
        <v>86995000</v>
      </c>
      <c r="E14" s="1">
        <v>109223000</v>
      </c>
      <c r="F14" s="1">
        <v>154523000</v>
      </c>
      <c r="G14" s="1">
        <v>207610000</v>
      </c>
      <c r="H14" s="1">
        <v>270858000</v>
      </c>
      <c r="I14" s="1">
        <v>370402000</v>
      </c>
      <c r="J14" s="1"/>
    </row>
    <row r="15" spans="1:38" ht="20" x14ac:dyDescent="0.25">
      <c r="A15" s="5" t="s">
        <v>10</v>
      </c>
      <c r="B15" s="1">
        <v>33142000</v>
      </c>
      <c r="C15" s="1">
        <v>57604000</v>
      </c>
      <c r="D15" s="1">
        <v>95046000</v>
      </c>
      <c r="E15" s="1">
        <v>124884000</v>
      </c>
      <c r="F15" s="1">
        <v>175843000</v>
      </c>
      <c r="G15" s="1">
        <v>239886000</v>
      </c>
      <c r="H15" s="1">
        <v>310470000</v>
      </c>
      <c r="I15" s="1">
        <v>406786000</v>
      </c>
      <c r="J15" s="1"/>
      <c r="P15" s="19" t="s">
        <v>119</v>
      </c>
      <c r="Q15" s="20" t="s">
        <v>120</v>
      </c>
      <c r="R15" s="20" t="s">
        <v>121</v>
      </c>
      <c r="S15" s="20" t="s">
        <v>122</v>
      </c>
    </row>
    <row r="16" spans="1:38" ht="19" x14ac:dyDescent="0.25">
      <c r="A16" s="5" t="s">
        <v>11</v>
      </c>
      <c r="B16" s="1">
        <v>140041000</v>
      </c>
      <c r="C16" s="1">
        <v>290255000</v>
      </c>
      <c r="D16" s="1">
        <v>596422000</v>
      </c>
      <c r="E16" s="1">
        <v>919046000</v>
      </c>
      <c r="F16" s="1">
        <v>1479878000</v>
      </c>
      <c r="G16" s="1">
        <v>2399979000</v>
      </c>
      <c r="H16" s="1">
        <v>3267659000</v>
      </c>
      <c r="I16" s="1">
        <v>5400688000</v>
      </c>
      <c r="J16" s="1"/>
      <c r="P16" s="26">
        <f>(J35+I35+H35+G35+F35)/5</f>
        <v>2.567905561326001E-3</v>
      </c>
      <c r="Q16" s="36">
        <f>R101/J3</f>
        <v>5.0737947645954788</v>
      </c>
      <c r="R16" s="36">
        <f>R101/J28</f>
        <v>80.366204073818693</v>
      </c>
      <c r="S16" s="37">
        <f>R101/J107</f>
        <v>22.680195097548776</v>
      </c>
    </row>
    <row r="17" spans="1:19" ht="19" x14ac:dyDescent="0.25">
      <c r="A17" s="5" t="s">
        <v>12</v>
      </c>
      <c r="B17" s="1">
        <v>1000</v>
      </c>
      <c r="C17" s="1">
        <v>8000</v>
      </c>
      <c r="D17" s="1">
        <v>236000</v>
      </c>
      <c r="E17" s="1">
        <v>775000</v>
      </c>
      <c r="F17" s="1">
        <v>1516000</v>
      </c>
      <c r="G17" s="1">
        <v>4633000</v>
      </c>
      <c r="H17" s="1">
        <v>9406000</v>
      </c>
      <c r="I17" s="1">
        <v>12788000</v>
      </c>
      <c r="J17" s="1">
        <v>11963000</v>
      </c>
    </row>
    <row r="18" spans="1:19" ht="20" x14ac:dyDescent="0.25">
      <c r="A18" s="5" t="s">
        <v>13</v>
      </c>
      <c r="B18" s="1">
        <v>1056000</v>
      </c>
      <c r="C18" s="1">
        <v>2218000</v>
      </c>
      <c r="D18" s="1">
        <v>4136000</v>
      </c>
      <c r="E18" s="1">
        <v>5936000</v>
      </c>
      <c r="F18" s="1">
        <v>8736000</v>
      </c>
      <c r="G18" s="1">
        <v>22326000</v>
      </c>
      <c r="H18" s="1">
        <v>28567000</v>
      </c>
      <c r="I18" s="1">
        <v>35011000</v>
      </c>
      <c r="J18" s="1">
        <v>63613000</v>
      </c>
      <c r="P18" s="19" t="s">
        <v>123</v>
      </c>
      <c r="Q18" s="20" t="s">
        <v>157</v>
      </c>
      <c r="R18" s="20" t="s">
        <v>158</v>
      </c>
      <c r="S18" s="20" t="s">
        <v>159</v>
      </c>
    </row>
    <row r="19" spans="1:19" ht="19" x14ac:dyDescent="0.25">
      <c r="A19" s="6" t="s">
        <v>14</v>
      </c>
      <c r="B19" s="10">
        <v>15022000</v>
      </c>
      <c r="C19" s="10">
        <v>43268000</v>
      </c>
      <c r="D19" s="10">
        <v>123881000</v>
      </c>
      <c r="E19" s="10">
        <v>98935000</v>
      </c>
      <c r="F19" s="10">
        <v>174962000</v>
      </c>
      <c r="G19" s="10">
        <v>284217000</v>
      </c>
      <c r="H19" s="10">
        <v>361153000</v>
      </c>
      <c r="I19" s="10">
        <v>628646000</v>
      </c>
      <c r="J19" s="10">
        <v>693000000</v>
      </c>
      <c r="K19" s="31">
        <v>835400000</v>
      </c>
      <c r="L19" s="31">
        <v>1174000000</v>
      </c>
      <c r="M19" s="31">
        <v>1608000000</v>
      </c>
      <c r="N19" s="31">
        <v>2122000000</v>
      </c>
      <c r="O19" s="31">
        <v>2615000000</v>
      </c>
      <c r="P19" s="27">
        <f>J40-J56-J61</f>
        <v>5761725000</v>
      </c>
      <c r="Q19" s="36">
        <f>R101/K3</f>
        <v>3.9084232758620692</v>
      </c>
      <c r="R19" s="38">
        <f>R101/K28</f>
        <v>65.394071830376461</v>
      </c>
      <c r="S19" s="37">
        <f>R101/K105</f>
        <v>19.605277280678632</v>
      </c>
    </row>
    <row r="20" spans="1:19" ht="19" customHeight="1" x14ac:dyDescent="0.25">
      <c r="A20" s="14" t="s">
        <v>100</v>
      </c>
      <c r="B20" s="1"/>
      <c r="C20" s="15">
        <f>(C19/B19)-1</f>
        <v>1.8803088803088803</v>
      </c>
      <c r="D20" s="15">
        <f>(D19/C19)-1</f>
        <v>1.8631089951003053</v>
      </c>
      <c r="E20" s="15">
        <f>(E19/D19)-1</f>
        <v>-0.20137067023998834</v>
      </c>
      <c r="F20" s="15">
        <f t="shared" ref="F20:J20" si="3">(F19/E19)-1</f>
        <v>0.76845403547783908</v>
      </c>
      <c r="G20" s="15">
        <f t="shared" si="3"/>
        <v>0.62444988054548989</v>
      </c>
      <c r="H20" s="15">
        <f t="shared" si="3"/>
        <v>0.27069457491986748</v>
      </c>
      <c r="I20" s="15">
        <f t="shared" si="3"/>
        <v>0.74066392913806611</v>
      </c>
      <c r="J20" s="15">
        <f t="shared" si="3"/>
        <v>0.10236921892448203</v>
      </c>
      <c r="K20" s="16">
        <f t="shared" ref="K20" si="4">(K19/J19)-1</f>
        <v>0.20548340548340538</v>
      </c>
      <c r="L20" s="16">
        <f t="shared" ref="L20" si="5">(L19/K19)-1</f>
        <v>0.40531481924826429</v>
      </c>
      <c r="M20" s="16">
        <f t="shared" ref="M20" si="6">(M19/L19)-1</f>
        <v>0.36967632027257236</v>
      </c>
      <c r="N20" s="16">
        <f t="shared" ref="N20" si="7">(N19/M19)-1</f>
        <v>0.31965174129353224</v>
      </c>
      <c r="O20" s="16">
        <f t="shared" ref="O20" si="8">(O19/N19)-1</f>
        <v>0.23232799245994351</v>
      </c>
    </row>
    <row r="21" spans="1:19" ht="20" x14ac:dyDescent="0.25">
      <c r="A21" s="5" t="s">
        <v>15</v>
      </c>
      <c r="B21" s="2">
        <v>9.7799999999999998E-2</v>
      </c>
      <c r="C21" s="2">
        <v>0.13070000000000001</v>
      </c>
      <c r="D21" s="2">
        <v>0.18790000000000001</v>
      </c>
      <c r="E21" s="2">
        <v>9.7699999999999995E-2</v>
      </c>
      <c r="F21" s="2">
        <v>0.10580000000000001</v>
      </c>
      <c r="G21" s="2">
        <v>0.107</v>
      </c>
      <c r="H21" s="2">
        <v>9.9199999999999997E-2</v>
      </c>
      <c r="I21" s="2">
        <v>0.10489999999999999</v>
      </c>
      <c r="J21" s="2">
        <f>J19/J3</f>
        <v>7.755441930932698E-2</v>
      </c>
      <c r="K21" s="32">
        <f t="shared" ref="K21:O21" si="9">K19/K3</f>
        <v>7.2017241379310343E-2</v>
      </c>
      <c r="L21" s="32">
        <f t="shared" si="9"/>
        <v>8.0965517241379306E-2</v>
      </c>
      <c r="M21" s="32">
        <f t="shared" si="9"/>
        <v>9.0337078651685387E-2</v>
      </c>
      <c r="N21" s="32">
        <f t="shared" si="9"/>
        <v>0.10104761904761905</v>
      </c>
      <c r="O21" s="32">
        <f t="shared" si="9"/>
        <v>0.11127659574468085</v>
      </c>
      <c r="R21" s="19" t="s">
        <v>165</v>
      </c>
      <c r="S21" s="20" t="s">
        <v>166</v>
      </c>
    </row>
    <row r="22" spans="1:19" ht="19" x14ac:dyDescent="0.25">
      <c r="A22" s="6" t="s">
        <v>16</v>
      </c>
      <c r="B22" s="10">
        <v>13634000</v>
      </c>
      <c r="C22" s="10">
        <v>40846000</v>
      </c>
      <c r="D22" s="10">
        <v>62939000</v>
      </c>
      <c r="E22" s="10">
        <v>93394000</v>
      </c>
      <c r="F22" s="10">
        <v>173070000</v>
      </c>
      <c r="G22" s="10">
        <v>256795000</v>
      </c>
      <c r="H22" s="10">
        <v>373730000</v>
      </c>
      <c r="I22" s="10">
        <v>594731000</v>
      </c>
      <c r="J22" s="10">
        <v>664675000</v>
      </c>
      <c r="R22" s="42">
        <f>(-1*J98)/R101</f>
        <v>0</v>
      </c>
      <c r="S22" s="43">
        <f>J107/R101</f>
        <v>4.4091331476600826E-2</v>
      </c>
    </row>
    <row r="23" spans="1:19" ht="19" x14ac:dyDescent="0.25">
      <c r="A23" s="5" t="s">
        <v>17</v>
      </c>
      <c r="B23" s="2">
        <v>8.8700000000000001E-2</v>
      </c>
      <c r="C23" s="2">
        <v>0.1234</v>
      </c>
      <c r="D23" s="2">
        <v>9.5500000000000002E-2</v>
      </c>
      <c r="E23" s="2">
        <v>9.2200000000000004E-2</v>
      </c>
      <c r="F23" s="2">
        <v>0.1047</v>
      </c>
      <c r="G23" s="2">
        <v>9.6699999999999994E-2</v>
      </c>
      <c r="H23" s="2">
        <v>0.1026</v>
      </c>
      <c r="I23" s="2">
        <v>9.9199999999999997E-2</v>
      </c>
      <c r="J23" s="2">
        <f>J22/J3</f>
        <v>7.4384536297874324E-2</v>
      </c>
    </row>
    <row r="24" spans="1:19" ht="19" x14ac:dyDescent="0.25">
      <c r="A24" s="5" t="s">
        <v>18</v>
      </c>
      <c r="B24" s="1">
        <v>331000</v>
      </c>
      <c r="C24" s="1">
        <v>196000</v>
      </c>
      <c r="D24" s="1">
        <v>56570000</v>
      </c>
      <c r="E24" s="1">
        <v>-1170000</v>
      </c>
      <c r="F24" s="1">
        <v>-8360000</v>
      </c>
      <c r="G24" s="1">
        <v>463000</v>
      </c>
      <c r="H24" s="1">
        <v>-50550000</v>
      </c>
      <c r="I24" s="1">
        <v>-13884000</v>
      </c>
      <c r="J24" s="1">
        <v>-11251000</v>
      </c>
    </row>
    <row r="25" spans="1:19" ht="19" x14ac:dyDescent="0.25">
      <c r="A25" s="6" t="s">
        <v>19</v>
      </c>
      <c r="B25" s="10">
        <v>13965000</v>
      </c>
      <c r="C25" s="10">
        <v>41042000</v>
      </c>
      <c r="D25" s="10">
        <v>119509000</v>
      </c>
      <c r="E25" s="10">
        <v>92224000</v>
      </c>
      <c r="F25" s="10">
        <v>164710000</v>
      </c>
      <c r="G25" s="10">
        <v>257258000</v>
      </c>
      <c r="H25" s="10">
        <v>323180000</v>
      </c>
      <c r="I25" s="10">
        <v>580847000</v>
      </c>
      <c r="J25" s="10">
        <f>J22+J24</f>
        <v>653424000</v>
      </c>
    </row>
    <row r="26" spans="1:19" ht="19" x14ac:dyDescent="0.25">
      <c r="A26" s="5" t="s">
        <v>20</v>
      </c>
      <c r="B26" s="2">
        <v>9.0899999999999995E-2</v>
      </c>
      <c r="C26" s="2">
        <v>0.124</v>
      </c>
      <c r="D26" s="2">
        <v>0.1812</v>
      </c>
      <c r="E26" s="2">
        <v>9.11E-2</v>
      </c>
      <c r="F26" s="2">
        <v>9.9599999999999994E-2</v>
      </c>
      <c r="G26" s="2">
        <v>9.6799999999999997E-2</v>
      </c>
      <c r="H26" s="2">
        <v>8.8800000000000004E-2</v>
      </c>
      <c r="I26" s="2">
        <v>9.69E-2</v>
      </c>
      <c r="J26" s="2">
        <f>J25/J3</f>
        <v>7.3125424073272258E-2</v>
      </c>
    </row>
    <row r="27" spans="1:19" ht="19" x14ac:dyDescent="0.25">
      <c r="A27" s="5" t="s">
        <v>21</v>
      </c>
      <c r="B27" s="1">
        <v>3101000</v>
      </c>
      <c r="C27" s="1">
        <v>7434000</v>
      </c>
      <c r="D27" s="1">
        <v>22279000</v>
      </c>
      <c r="E27" s="1">
        <v>20917000</v>
      </c>
      <c r="F27" s="1">
        <v>33564000</v>
      </c>
      <c r="G27" s="1">
        <v>53219000</v>
      </c>
      <c r="H27" s="1">
        <v>62161000</v>
      </c>
      <c r="I27" s="1">
        <v>111130000</v>
      </c>
      <c r="J27" s="1">
        <v>149690000</v>
      </c>
    </row>
    <row r="28" spans="1:19" ht="20" thickBot="1" x14ac:dyDescent="0.3">
      <c r="A28" s="7" t="s">
        <v>22</v>
      </c>
      <c r="B28" s="11">
        <v>10864000</v>
      </c>
      <c r="C28" s="11">
        <v>33608000</v>
      </c>
      <c r="D28" s="11">
        <v>97230000</v>
      </c>
      <c r="E28" s="11">
        <v>71307000</v>
      </c>
      <c r="F28" s="11">
        <v>131146000</v>
      </c>
      <c r="G28" s="11">
        <v>204039000</v>
      </c>
      <c r="H28" s="11">
        <v>261019000</v>
      </c>
      <c r="I28" s="11">
        <v>469717000</v>
      </c>
      <c r="J28" s="11">
        <v>564139000</v>
      </c>
      <c r="K28" s="34">
        <v>693300000</v>
      </c>
      <c r="L28" s="34">
        <v>952500000</v>
      </c>
      <c r="M28" s="34">
        <v>1321000000</v>
      </c>
      <c r="N28" s="34">
        <v>1691000000</v>
      </c>
      <c r="O28" s="34">
        <v>1916000000</v>
      </c>
    </row>
    <row r="29" spans="1:19" ht="20" customHeight="1" thickTop="1" x14ac:dyDescent="0.25">
      <c r="A29" s="14" t="s">
        <v>101</v>
      </c>
      <c r="B29" s="1"/>
      <c r="C29" s="15">
        <f>(C28/B28)-1</f>
        <v>2.0935198821796761</v>
      </c>
      <c r="D29" s="15">
        <f>(D28/C28)-1</f>
        <v>1.8930611759104976</v>
      </c>
      <c r="E29" s="15">
        <f>(E28/D28)-1</f>
        <v>-0.26661524220919475</v>
      </c>
      <c r="F29" s="15">
        <f t="shared" ref="F29:J29" si="10">(F28/E28)-1</f>
        <v>0.8391742746153954</v>
      </c>
      <c r="G29" s="15">
        <f t="shared" si="10"/>
        <v>0.55581565583395598</v>
      </c>
      <c r="H29" s="15">
        <f t="shared" si="10"/>
        <v>0.27926033748450041</v>
      </c>
      <c r="I29" s="15">
        <f t="shared" si="10"/>
        <v>0.79955099054091838</v>
      </c>
      <c r="J29" s="15">
        <f t="shared" si="10"/>
        <v>0.20101891138706929</v>
      </c>
      <c r="K29" s="16">
        <f t="shared" ref="K29" si="11">(K28/J28)-1</f>
        <v>0.22895243902655205</v>
      </c>
      <c r="L29" s="16">
        <f t="shared" ref="L29" si="12">(L28/K28)-1</f>
        <v>0.373864128083081</v>
      </c>
      <c r="M29" s="16">
        <f t="shared" ref="M29" si="13">(M28/L28)-1</f>
        <v>0.38687664041994752</v>
      </c>
      <c r="N29" s="16">
        <f t="shared" ref="N29" si="14">(N28/M28)-1</f>
        <v>0.28009084027252085</v>
      </c>
      <c r="O29" s="16">
        <f t="shared" ref="O29" si="15">(O28/N28)-1</f>
        <v>0.13305736250739209</v>
      </c>
    </row>
    <row r="30" spans="1:19" ht="19" x14ac:dyDescent="0.25">
      <c r="A30" s="5" t="s">
        <v>23</v>
      </c>
      <c r="B30" s="2">
        <v>7.0699999999999999E-2</v>
      </c>
      <c r="C30" s="2">
        <v>0.10150000000000001</v>
      </c>
      <c r="D30" s="2">
        <v>0.14749999999999999</v>
      </c>
      <c r="E30" s="2">
        <v>7.0400000000000004E-2</v>
      </c>
      <c r="F30" s="2">
        <v>7.9299999999999995E-2</v>
      </c>
      <c r="G30" s="2">
        <v>7.6799999999999993E-2</v>
      </c>
      <c r="H30" s="2">
        <v>7.17E-2</v>
      </c>
      <c r="I30" s="2">
        <v>7.8299999999999995E-2</v>
      </c>
      <c r="J30" s="2">
        <f>J28/J3</f>
        <v>6.3133438029934222E-2</v>
      </c>
      <c r="K30" s="35">
        <f t="shared" ref="K30:O30" si="16">K28/K3</f>
        <v>5.9767241379310346E-2</v>
      </c>
      <c r="L30" s="35">
        <f t="shared" si="16"/>
        <v>6.5689655172413791E-2</v>
      </c>
      <c r="M30" s="35">
        <f t="shared" si="16"/>
        <v>7.4213483146067419E-2</v>
      </c>
      <c r="N30" s="35">
        <f t="shared" si="16"/>
        <v>8.0523809523809525E-2</v>
      </c>
      <c r="O30" s="35">
        <f t="shared" si="16"/>
        <v>8.1531914893617025E-2</v>
      </c>
    </row>
    <row r="31" spans="1:19" ht="19" x14ac:dyDescent="0.25">
      <c r="A31" s="5" t="s">
        <v>24</v>
      </c>
      <c r="B31" s="12">
        <v>0.37</v>
      </c>
      <c r="C31" s="12">
        <v>1.1399999999999999</v>
      </c>
      <c r="D31" s="12">
        <v>3.29</v>
      </c>
      <c r="E31" s="12">
        <v>2.41</v>
      </c>
      <c r="F31" s="12">
        <v>4.45</v>
      </c>
      <c r="G31" s="12">
        <v>6.86</v>
      </c>
      <c r="H31" s="12">
        <v>8.6300000000000008</v>
      </c>
      <c r="I31" s="12">
        <v>15.53</v>
      </c>
      <c r="J31" s="12">
        <v>18.21</v>
      </c>
      <c r="K31" s="33">
        <v>22.37</v>
      </c>
      <c r="L31" s="33">
        <v>30.74</v>
      </c>
      <c r="M31" s="33">
        <v>42.62</v>
      </c>
      <c r="N31" s="33">
        <v>54.58</v>
      </c>
      <c r="O31" s="33">
        <v>61.83</v>
      </c>
    </row>
    <row r="32" spans="1:19" ht="19" x14ac:dyDescent="0.25">
      <c r="A32" s="5" t="s">
        <v>25</v>
      </c>
      <c r="B32" s="12">
        <v>0.35</v>
      </c>
      <c r="C32" s="12">
        <v>1.1000000000000001</v>
      </c>
      <c r="D32" s="12">
        <v>3.17</v>
      </c>
      <c r="E32" s="12">
        <v>2.33</v>
      </c>
      <c r="F32" s="12">
        <v>4.29</v>
      </c>
      <c r="G32" s="12">
        <v>6.68</v>
      </c>
      <c r="H32" s="12">
        <v>8.51</v>
      </c>
      <c r="I32" s="12">
        <v>15.32</v>
      </c>
      <c r="J32" s="12">
        <v>18.170000000000002</v>
      </c>
    </row>
    <row r="33" spans="1:10" ht="19" x14ac:dyDescent="0.25">
      <c r="A33" s="5" t="s">
        <v>26</v>
      </c>
      <c r="B33" s="1">
        <v>29596056</v>
      </c>
      <c r="C33" s="1">
        <v>29596056</v>
      </c>
      <c r="D33" s="1">
        <v>29596056</v>
      </c>
      <c r="E33" s="1">
        <v>29596056</v>
      </c>
      <c r="F33" s="1">
        <v>29486625</v>
      </c>
      <c r="G33" s="1">
        <v>29732937</v>
      </c>
      <c r="H33" s="1">
        <v>30246923</v>
      </c>
      <c r="I33" s="1">
        <v>30246923</v>
      </c>
      <c r="J33" s="1">
        <v>30975325</v>
      </c>
    </row>
    <row r="34" spans="1:10" ht="19" x14ac:dyDescent="0.25">
      <c r="A34" s="5" t="s">
        <v>27</v>
      </c>
      <c r="B34" s="1">
        <v>30652731</v>
      </c>
      <c r="C34" s="1">
        <v>30652731</v>
      </c>
      <c r="D34" s="1">
        <v>30652731</v>
      </c>
      <c r="E34" s="1">
        <v>30652731</v>
      </c>
      <c r="F34" s="1">
        <v>30604084</v>
      </c>
      <c r="G34" s="1">
        <v>30527630</v>
      </c>
      <c r="H34" s="1">
        <v>30667599</v>
      </c>
      <c r="I34" s="1">
        <v>30667599</v>
      </c>
      <c r="J34" s="1">
        <v>31046029</v>
      </c>
    </row>
    <row r="35" spans="1:10" ht="20" customHeight="1" x14ac:dyDescent="0.25">
      <c r="A35" s="14" t="s">
        <v>102</v>
      </c>
      <c r="B35" s="1"/>
      <c r="C35" s="23">
        <f>(C34-B34)/B34</f>
        <v>0</v>
      </c>
      <c r="D35" s="23">
        <f t="shared" ref="D35:J35" si="17">(D34-C34)/C34</f>
        <v>0</v>
      </c>
      <c r="E35" s="23">
        <f t="shared" si="17"/>
        <v>0</v>
      </c>
      <c r="F35" s="23">
        <f t="shared" si="17"/>
        <v>-1.5870364046844635E-3</v>
      </c>
      <c r="G35" s="23">
        <f t="shared" si="17"/>
        <v>-2.4981633170265772E-3</v>
      </c>
      <c r="H35" s="23">
        <f t="shared" si="17"/>
        <v>4.5849939874140246E-3</v>
      </c>
      <c r="I35" s="23">
        <f t="shared" si="17"/>
        <v>0</v>
      </c>
      <c r="J35" s="23">
        <f t="shared" si="17"/>
        <v>1.2339733540927022E-2</v>
      </c>
    </row>
    <row r="36" spans="1:10" ht="19" x14ac:dyDescent="0.25">
      <c r="A36" s="5" t="s">
        <v>28</v>
      </c>
      <c r="B36" s="13" t="s">
        <v>92</v>
      </c>
      <c r="C36" s="13" t="s">
        <v>92</v>
      </c>
      <c r="D36" s="13" t="s">
        <v>92</v>
      </c>
      <c r="E36" s="13" t="s">
        <v>92</v>
      </c>
      <c r="F36" s="13" t="s">
        <v>92</v>
      </c>
      <c r="G36" s="13" t="s">
        <v>92</v>
      </c>
      <c r="H36" s="13" t="s">
        <v>92</v>
      </c>
      <c r="I36" s="13" t="s">
        <v>92</v>
      </c>
      <c r="J36" s="13" t="s">
        <v>92</v>
      </c>
    </row>
    <row r="37" spans="1:10" ht="21" x14ac:dyDescent="0.25">
      <c r="A37" s="4" t="s">
        <v>29</v>
      </c>
      <c r="B37" s="9" t="s">
        <v>90</v>
      </c>
      <c r="C37" s="9" t="s">
        <v>90</v>
      </c>
      <c r="D37" s="9" t="s">
        <v>90</v>
      </c>
      <c r="E37" s="9" t="s">
        <v>90</v>
      </c>
      <c r="F37" s="9" t="s">
        <v>90</v>
      </c>
      <c r="G37" s="9" t="s">
        <v>90</v>
      </c>
      <c r="H37" s="9" t="s">
        <v>90</v>
      </c>
      <c r="I37" s="9" t="s">
        <v>90</v>
      </c>
      <c r="J37" s="9" t="s">
        <v>90</v>
      </c>
    </row>
    <row r="38" spans="1:10" ht="19" x14ac:dyDescent="0.25">
      <c r="A38" s="5" t="s">
        <v>30</v>
      </c>
      <c r="B38" s="1">
        <v>327886000</v>
      </c>
      <c r="C38" s="1">
        <v>499318000</v>
      </c>
      <c r="D38" s="1">
        <v>680067000</v>
      </c>
      <c r="E38" s="1">
        <v>567928000</v>
      </c>
      <c r="F38" s="1">
        <v>500916000</v>
      </c>
      <c r="G38" s="1">
        <v>740123000</v>
      </c>
      <c r="H38" s="1">
        <v>1258173000</v>
      </c>
      <c r="I38" s="1">
        <v>4596440000</v>
      </c>
      <c r="J38" s="1">
        <v>5964798000</v>
      </c>
    </row>
    <row r="39" spans="1:10" ht="19" x14ac:dyDescent="0.25">
      <c r="A39" s="5" t="s">
        <v>31</v>
      </c>
      <c r="B39" s="1" t="s">
        <v>91</v>
      </c>
      <c r="C39" s="1" t="s">
        <v>91</v>
      </c>
      <c r="D39" s="1" t="s">
        <v>91</v>
      </c>
      <c r="E39" s="1">
        <v>6989000</v>
      </c>
      <c r="F39" s="1">
        <v>14260000</v>
      </c>
      <c r="G39" s="1">
        <v>13031000</v>
      </c>
      <c r="H39" s="1">
        <v>12238000</v>
      </c>
      <c r="I39" s="1" t="s">
        <v>91</v>
      </c>
      <c r="J39" s="1" t="s">
        <v>91</v>
      </c>
    </row>
    <row r="40" spans="1:10" ht="19" x14ac:dyDescent="0.25">
      <c r="A40" s="5" t="s">
        <v>32</v>
      </c>
      <c r="B40" s="1">
        <v>327886000</v>
      </c>
      <c r="C40" s="1">
        <v>499318000</v>
      </c>
      <c r="D40" s="1">
        <v>680067000</v>
      </c>
      <c r="E40" s="1">
        <v>574917000</v>
      </c>
      <c r="F40" s="1">
        <v>515176000</v>
      </c>
      <c r="G40" s="1">
        <v>753154000</v>
      </c>
      <c r="H40" s="1">
        <v>1270411000</v>
      </c>
      <c r="I40" s="1">
        <v>4596440000</v>
      </c>
      <c r="J40" s="1">
        <v>5964798000</v>
      </c>
    </row>
    <row r="41" spans="1:10" ht="19" x14ac:dyDescent="0.25">
      <c r="A41" s="5" t="s">
        <v>33</v>
      </c>
      <c r="B41" s="1" t="s">
        <v>91</v>
      </c>
      <c r="C41" s="1" t="s">
        <v>91</v>
      </c>
      <c r="D41" s="1" t="s">
        <v>91</v>
      </c>
      <c r="E41" s="1" t="s">
        <v>91</v>
      </c>
      <c r="F41" s="1" t="s">
        <v>91</v>
      </c>
      <c r="G41" s="1" t="s">
        <v>91</v>
      </c>
      <c r="H41" s="1" t="s">
        <v>91</v>
      </c>
      <c r="I41" s="1" t="s">
        <v>91</v>
      </c>
      <c r="J41" s="1" t="s">
        <v>91</v>
      </c>
    </row>
    <row r="42" spans="1:10" ht="19" x14ac:dyDescent="0.25">
      <c r="A42" s="5" t="s">
        <v>34</v>
      </c>
      <c r="B42" s="1">
        <v>68000</v>
      </c>
      <c r="C42" s="1">
        <v>1462000</v>
      </c>
      <c r="D42" s="1">
        <v>3246000</v>
      </c>
      <c r="E42" s="1">
        <v>4017000</v>
      </c>
      <c r="F42" s="1">
        <v>7864000</v>
      </c>
      <c r="G42" s="1">
        <v>7020000</v>
      </c>
      <c r="H42" s="1">
        <v>19548000</v>
      </c>
      <c r="I42" s="1">
        <v>22138000</v>
      </c>
      <c r="J42" s="1">
        <v>78788000</v>
      </c>
    </row>
    <row r="43" spans="1:10" ht="19" x14ac:dyDescent="0.25">
      <c r="A43" s="5" t="s">
        <v>35</v>
      </c>
      <c r="B43" s="1">
        <v>156265000</v>
      </c>
      <c r="C43" s="1">
        <v>263075000</v>
      </c>
      <c r="D43" s="1">
        <v>648406000</v>
      </c>
      <c r="E43" s="1">
        <v>503349000</v>
      </c>
      <c r="F43" s="1">
        <v>1128930000</v>
      </c>
      <c r="G43" s="1">
        <v>1495525000</v>
      </c>
      <c r="H43" s="1">
        <v>2447125000</v>
      </c>
      <c r="I43" s="1">
        <v>716516000</v>
      </c>
      <c r="J43" s="1"/>
    </row>
    <row r="44" spans="1:10" ht="19" x14ac:dyDescent="0.25">
      <c r="A44" s="6" t="s">
        <v>36</v>
      </c>
      <c r="B44" s="10">
        <v>484219000</v>
      </c>
      <c r="C44" s="10">
        <v>763855000</v>
      </c>
      <c r="D44" s="10">
        <v>1331719000</v>
      </c>
      <c r="E44" s="10">
        <v>1082283000</v>
      </c>
      <c r="F44" s="10">
        <v>1651970000</v>
      </c>
      <c r="G44" s="10">
        <v>2255699000</v>
      </c>
      <c r="H44" s="10">
        <v>3737084000</v>
      </c>
      <c r="I44" s="10">
        <v>5335094000</v>
      </c>
      <c r="J44" s="10">
        <v>6512865000</v>
      </c>
    </row>
    <row r="45" spans="1:10" ht="19" x14ac:dyDescent="0.25">
      <c r="A45" s="5" t="s">
        <v>37</v>
      </c>
      <c r="B45" s="1">
        <v>3991000</v>
      </c>
      <c r="C45" s="1">
        <v>7692000</v>
      </c>
      <c r="D45" s="1">
        <v>15084000</v>
      </c>
      <c r="E45" s="1">
        <v>19990000</v>
      </c>
      <c r="F45" s="1">
        <v>23922000</v>
      </c>
      <c r="G45" s="1">
        <v>89914000</v>
      </c>
      <c r="H45" s="1">
        <v>160074000</v>
      </c>
      <c r="I45" s="1">
        <v>201044000</v>
      </c>
      <c r="J45" s="1">
        <v>113596000</v>
      </c>
    </row>
    <row r="46" spans="1:10" ht="19" x14ac:dyDescent="0.25">
      <c r="A46" s="5" t="s">
        <v>38</v>
      </c>
      <c r="B46" s="1" t="s">
        <v>91</v>
      </c>
      <c r="C46" s="1" t="s">
        <v>91</v>
      </c>
      <c r="D46" s="1" t="s">
        <v>91</v>
      </c>
      <c r="E46" s="1" t="s">
        <v>91</v>
      </c>
      <c r="F46" s="1" t="s">
        <v>91</v>
      </c>
      <c r="G46" s="1" t="s">
        <v>91</v>
      </c>
      <c r="H46" s="1" t="s">
        <v>91</v>
      </c>
      <c r="I46" s="1" t="s">
        <v>91</v>
      </c>
      <c r="J46" s="1" t="s">
        <v>91</v>
      </c>
    </row>
    <row r="47" spans="1:10" ht="19" x14ac:dyDescent="0.25">
      <c r="A47" s="5" t="s">
        <v>39</v>
      </c>
      <c r="B47" s="1">
        <v>2037000</v>
      </c>
      <c r="C47" s="1">
        <v>2978000</v>
      </c>
      <c r="D47" s="1">
        <v>3955000</v>
      </c>
      <c r="E47" s="1">
        <v>3977000</v>
      </c>
      <c r="F47" s="1">
        <v>5059000</v>
      </c>
      <c r="G47" s="1">
        <v>7640000</v>
      </c>
      <c r="H47" s="1">
        <v>9970000</v>
      </c>
      <c r="I47" s="1">
        <v>9841000</v>
      </c>
      <c r="J47" s="1">
        <v>8140000</v>
      </c>
    </row>
    <row r="48" spans="1:10" ht="19" x14ac:dyDescent="0.25">
      <c r="A48" s="5" t="s">
        <v>40</v>
      </c>
      <c r="B48" s="1">
        <v>2037000</v>
      </c>
      <c r="C48" s="1">
        <v>2978000</v>
      </c>
      <c r="D48" s="1">
        <v>3955000</v>
      </c>
      <c r="E48" s="1">
        <v>3977000</v>
      </c>
      <c r="F48" s="1">
        <v>5059000</v>
      </c>
      <c r="G48" s="1">
        <v>7640000</v>
      </c>
      <c r="H48" s="1">
        <v>9970000</v>
      </c>
      <c r="I48" s="1">
        <v>9841000</v>
      </c>
      <c r="J48" s="1">
        <v>8140000</v>
      </c>
    </row>
    <row r="49" spans="1:10" ht="19" x14ac:dyDescent="0.25">
      <c r="A49" s="5" t="s">
        <v>41</v>
      </c>
      <c r="B49" s="1" t="s">
        <v>91</v>
      </c>
      <c r="C49" s="1" t="s">
        <v>91</v>
      </c>
      <c r="D49" s="1" t="s">
        <v>91</v>
      </c>
      <c r="E49" s="1">
        <v>18087000</v>
      </c>
      <c r="F49" s="1">
        <v>16118000</v>
      </c>
      <c r="G49" s="1">
        <v>31057000</v>
      </c>
      <c r="H49" s="1">
        <v>8645000</v>
      </c>
      <c r="I49" s="1" t="s">
        <v>91</v>
      </c>
      <c r="J49" s="1" t="s">
        <v>91</v>
      </c>
    </row>
    <row r="50" spans="1:10" ht="19" x14ac:dyDescent="0.25">
      <c r="A50" s="5" t="s">
        <v>42</v>
      </c>
      <c r="B50" s="1" t="s">
        <v>91</v>
      </c>
      <c r="C50" s="1">
        <v>919000</v>
      </c>
      <c r="D50" s="1">
        <v>1160000</v>
      </c>
      <c r="E50" s="1">
        <v>1627000</v>
      </c>
      <c r="F50" s="1">
        <v>8297000</v>
      </c>
      <c r="G50" s="1">
        <v>71633000</v>
      </c>
      <c r="H50" s="1">
        <v>106337000</v>
      </c>
      <c r="I50" s="1">
        <v>127782000</v>
      </c>
      <c r="J50" s="1">
        <v>150298000</v>
      </c>
    </row>
    <row r="51" spans="1:10" ht="19" x14ac:dyDescent="0.25">
      <c r="A51" s="5" t="s">
        <v>43</v>
      </c>
      <c r="B51" s="1" t="s">
        <v>91</v>
      </c>
      <c r="C51" s="1">
        <v>45972000</v>
      </c>
      <c r="D51" s="1">
        <v>23685000</v>
      </c>
      <c r="E51" s="1">
        <v>11238000</v>
      </c>
      <c r="F51" s="1">
        <v>155050000</v>
      </c>
      <c r="G51" s="1">
        <v>153031000</v>
      </c>
      <c r="H51" s="1">
        <v>136351000</v>
      </c>
      <c r="I51" s="1">
        <v>101845000</v>
      </c>
      <c r="J51" s="1"/>
    </row>
    <row r="52" spans="1:10" ht="19" x14ac:dyDescent="0.25">
      <c r="A52" s="5" t="s">
        <v>44</v>
      </c>
      <c r="B52" s="1">
        <v>6028000</v>
      </c>
      <c r="C52" s="1">
        <v>57561000</v>
      </c>
      <c r="D52" s="1">
        <v>43884000</v>
      </c>
      <c r="E52" s="1">
        <v>54919000</v>
      </c>
      <c r="F52" s="1">
        <v>208446000</v>
      </c>
      <c r="G52" s="1">
        <v>353275000</v>
      </c>
      <c r="H52" s="1">
        <v>421377000</v>
      </c>
      <c r="I52" s="1">
        <v>440512000</v>
      </c>
      <c r="J52" s="1">
        <v>585042000</v>
      </c>
    </row>
    <row r="53" spans="1:10" ht="19" x14ac:dyDescent="0.25">
      <c r="A53" s="5" t="s">
        <v>45</v>
      </c>
      <c r="B53" s="1" t="s">
        <v>91</v>
      </c>
      <c r="C53" s="1" t="s">
        <v>91</v>
      </c>
      <c r="D53" s="1" t="s">
        <v>91</v>
      </c>
      <c r="E53" s="1" t="s">
        <v>91</v>
      </c>
      <c r="F53" s="1" t="s">
        <v>91</v>
      </c>
      <c r="G53" s="1" t="s">
        <v>91</v>
      </c>
      <c r="H53" s="1" t="s">
        <v>91</v>
      </c>
      <c r="I53" s="1" t="s">
        <v>91</v>
      </c>
      <c r="J53" s="1" t="s">
        <v>91</v>
      </c>
    </row>
    <row r="54" spans="1:10" ht="20" thickBot="1" x14ac:dyDescent="0.3">
      <c r="A54" s="7" t="s">
        <v>46</v>
      </c>
      <c r="B54" s="11">
        <v>490247000</v>
      </c>
      <c r="C54" s="11">
        <v>821416000</v>
      </c>
      <c r="D54" s="11">
        <v>1375603000</v>
      </c>
      <c r="E54" s="11">
        <v>1137202000</v>
      </c>
      <c r="F54" s="11">
        <v>1860416000</v>
      </c>
      <c r="G54" s="11">
        <v>2608974000</v>
      </c>
      <c r="H54" s="11">
        <v>4158461000</v>
      </c>
      <c r="I54" s="11">
        <v>5775606000</v>
      </c>
      <c r="J54" s="11">
        <v>7097907000</v>
      </c>
    </row>
    <row r="55" spans="1:10" ht="20" thickTop="1" x14ac:dyDescent="0.25">
      <c r="A55" s="5" t="s">
        <v>47</v>
      </c>
      <c r="B55" s="1">
        <v>180000</v>
      </c>
      <c r="C55" s="1">
        <v>1299000</v>
      </c>
      <c r="D55" s="1">
        <v>2481000</v>
      </c>
      <c r="E55" s="1">
        <v>3519000</v>
      </c>
      <c r="F55" s="1">
        <v>6622000</v>
      </c>
      <c r="G55" s="1">
        <v>9458000</v>
      </c>
      <c r="H55" s="1">
        <v>8308000</v>
      </c>
      <c r="I55" s="1">
        <v>8989000</v>
      </c>
      <c r="J55" s="1">
        <v>3174000</v>
      </c>
    </row>
    <row r="56" spans="1:10" ht="19" x14ac:dyDescent="0.25">
      <c r="A56" s="5" t="s">
        <v>48</v>
      </c>
      <c r="B56" s="1" t="s">
        <v>91</v>
      </c>
      <c r="C56" s="1" t="s">
        <v>91</v>
      </c>
      <c r="D56" s="1" t="s">
        <v>91</v>
      </c>
      <c r="E56" s="1" t="s">
        <v>91</v>
      </c>
      <c r="F56" s="1" t="s">
        <v>91</v>
      </c>
      <c r="G56" s="1">
        <v>10791000</v>
      </c>
      <c r="H56" s="1">
        <v>13434000</v>
      </c>
      <c r="I56" s="1">
        <v>22996000</v>
      </c>
      <c r="J56" s="1">
        <v>33200000</v>
      </c>
    </row>
    <row r="57" spans="1:10" ht="19" x14ac:dyDescent="0.25">
      <c r="A57" s="5" t="s">
        <v>49</v>
      </c>
      <c r="B57" s="1">
        <v>3044000</v>
      </c>
      <c r="C57" s="1">
        <v>4715000</v>
      </c>
      <c r="D57" s="1">
        <v>17603000</v>
      </c>
      <c r="E57" s="1">
        <v>11454000</v>
      </c>
      <c r="F57" s="1">
        <v>22673000</v>
      </c>
      <c r="G57" s="1">
        <v>51172000</v>
      </c>
      <c r="H57" s="1">
        <v>58590000</v>
      </c>
      <c r="I57" s="1">
        <v>61297000</v>
      </c>
      <c r="J57" s="1">
        <v>93399000</v>
      </c>
    </row>
    <row r="58" spans="1:10" ht="19" x14ac:dyDescent="0.25">
      <c r="A58" s="5" t="s">
        <v>50</v>
      </c>
      <c r="B58" s="1" t="s">
        <v>91</v>
      </c>
      <c r="C58" s="1" t="s">
        <v>91</v>
      </c>
      <c r="D58" s="1" t="s">
        <v>91</v>
      </c>
      <c r="E58" s="1" t="s">
        <v>91</v>
      </c>
      <c r="F58" s="1" t="s">
        <v>91</v>
      </c>
      <c r="G58" s="1" t="s">
        <v>91</v>
      </c>
      <c r="H58" s="1" t="s">
        <v>91</v>
      </c>
      <c r="I58" s="1" t="s">
        <v>91</v>
      </c>
      <c r="J58" s="1" t="s">
        <v>91</v>
      </c>
    </row>
    <row r="59" spans="1:10" ht="19" x14ac:dyDescent="0.25">
      <c r="A59" s="5" t="s">
        <v>51</v>
      </c>
      <c r="B59" s="1">
        <v>363131000</v>
      </c>
      <c r="C59" s="1">
        <v>569551000</v>
      </c>
      <c r="D59" s="1">
        <v>1036709000</v>
      </c>
      <c r="E59" s="1">
        <v>727322000</v>
      </c>
      <c r="F59" s="1">
        <v>1201140000</v>
      </c>
      <c r="G59" s="1">
        <v>1556315000</v>
      </c>
      <c r="H59" s="1">
        <v>2649620000</v>
      </c>
      <c r="I59" s="1">
        <v>3648240000</v>
      </c>
      <c r="J59" s="1">
        <v>3648240000</v>
      </c>
    </row>
    <row r="60" spans="1:10" ht="19" x14ac:dyDescent="0.25">
      <c r="A60" s="6" t="s">
        <v>52</v>
      </c>
      <c r="B60" s="10">
        <v>366355000</v>
      </c>
      <c r="C60" s="10">
        <v>575565000</v>
      </c>
      <c r="D60" s="10">
        <v>1056793000</v>
      </c>
      <c r="E60" s="10">
        <v>742295000</v>
      </c>
      <c r="F60" s="10">
        <v>1230435000</v>
      </c>
      <c r="G60" s="10">
        <v>1627736000</v>
      </c>
      <c r="H60" s="10">
        <v>2729952000</v>
      </c>
      <c r="I60" s="10">
        <v>3741522000</v>
      </c>
      <c r="J60" s="10">
        <v>4489762000</v>
      </c>
    </row>
    <row r="61" spans="1:10" ht="19" x14ac:dyDescent="0.25">
      <c r="A61" s="5" t="s">
        <v>53</v>
      </c>
      <c r="B61" s="1" t="s">
        <v>91</v>
      </c>
      <c r="C61" s="1" t="s">
        <v>91</v>
      </c>
      <c r="D61" s="1" t="s">
        <v>91</v>
      </c>
      <c r="E61" s="1" t="s">
        <v>91</v>
      </c>
      <c r="F61" s="1" t="s">
        <v>91</v>
      </c>
      <c r="G61" s="1">
        <v>50903000</v>
      </c>
      <c r="H61" s="1">
        <v>118051000</v>
      </c>
      <c r="I61" s="1">
        <v>119968000</v>
      </c>
      <c r="J61" s="1">
        <v>169873000</v>
      </c>
    </row>
    <row r="62" spans="1:10" ht="19" x14ac:dyDescent="0.25">
      <c r="A62" s="5" t="s">
        <v>50</v>
      </c>
      <c r="B62" s="1" t="s">
        <v>91</v>
      </c>
      <c r="C62" s="1" t="s">
        <v>91</v>
      </c>
      <c r="D62" s="1" t="s">
        <v>91</v>
      </c>
      <c r="E62" s="1" t="s">
        <v>91</v>
      </c>
      <c r="F62" s="1" t="s">
        <v>91</v>
      </c>
      <c r="G62" s="1" t="s">
        <v>91</v>
      </c>
      <c r="H62" s="1" t="s">
        <v>91</v>
      </c>
      <c r="I62" s="1" t="s">
        <v>91</v>
      </c>
      <c r="J62" s="1" t="s">
        <v>91</v>
      </c>
    </row>
    <row r="63" spans="1:10" ht="19" x14ac:dyDescent="0.25">
      <c r="A63" s="5" t="s">
        <v>54</v>
      </c>
      <c r="B63" s="1" t="s">
        <v>91</v>
      </c>
      <c r="C63" s="1">
        <v>19000</v>
      </c>
      <c r="D63" s="1">
        <v>3848000</v>
      </c>
      <c r="E63" s="1">
        <v>5130000</v>
      </c>
      <c r="F63" s="1">
        <v>23777000</v>
      </c>
      <c r="G63" s="1">
        <v>26214000</v>
      </c>
      <c r="H63" s="1">
        <v>23924000</v>
      </c>
      <c r="I63" s="1">
        <v>16401000</v>
      </c>
      <c r="J63" s="1">
        <v>11345000</v>
      </c>
    </row>
    <row r="64" spans="1:10" ht="19" x14ac:dyDescent="0.25">
      <c r="A64" s="5" t="s">
        <v>55</v>
      </c>
      <c r="B64" s="1" t="s">
        <v>91</v>
      </c>
      <c r="C64" s="1" t="s">
        <v>91</v>
      </c>
      <c r="D64" s="1" t="s">
        <v>91</v>
      </c>
      <c r="E64" s="1" t="s">
        <v>91</v>
      </c>
      <c r="F64" s="1">
        <v>23800000</v>
      </c>
      <c r="G64" s="1">
        <v>35800000</v>
      </c>
      <c r="H64" s="1">
        <v>68400000</v>
      </c>
      <c r="I64" s="1">
        <v>87301000</v>
      </c>
      <c r="J64" s="1">
        <v>35000000</v>
      </c>
    </row>
    <row r="65" spans="1:10" ht="19" x14ac:dyDescent="0.25">
      <c r="A65" s="5" t="s">
        <v>56</v>
      </c>
      <c r="B65" s="1" t="s">
        <v>91</v>
      </c>
      <c r="C65" s="1">
        <v>19000</v>
      </c>
      <c r="D65" s="1">
        <v>3848000</v>
      </c>
      <c r="E65" s="1">
        <v>5130000</v>
      </c>
      <c r="F65" s="1">
        <v>47577000</v>
      </c>
      <c r="G65" s="1">
        <v>112917000</v>
      </c>
      <c r="H65" s="1">
        <v>210375000</v>
      </c>
      <c r="I65" s="1">
        <v>223670000</v>
      </c>
      <c r="J65" s="1">
        <f>196027000</f>
        <v>196027000</v>
      </c>
    </row>
    <row r="66" spans="1:10" ht="19" x14ac:dyDescent="0.25">
      <c r="A66" s="5" t="s">
        <v>57</v>
      </c>
      <c r="B66" s="1" t="s">
        <v>91</v>
      </c>
      <c r="C66" s="1" t="s">
        <v>91</v>
      </c>
      <c r="D66" s="1" t="s">
        <v>91</v>
      </c>
      <c r="E66" s="1" t="s">
        <v>91</v>
      </c>
      <c r="F66" s="1" t="s">
        <v>91</v>
      </c>
      <c r="G66" s="1" t="s">
        <v>91</v>
      </c>
      <c r="H66" s="1" t="s">
        <v>91</v>
      </c>
      <c r="I66" s="1" t="s">
        <v>91</v>
      </c>
      <c r="J66" s="1" t="s">
        <v>91</v>
      </c>
    </row>
    <row r="67" spans="1:10" ht="19" x14ac:dyDescent="0.25">
      <c r="A67" s="6" t="s">
        <v>58</v>
      </c>
      <c r="B67" s="10">
        <v>366355000</v>
      </c>
      <c r="C67" s="10">
        <v>575584000</v>
      </c>
      <c r="D67" s="10">
        <v>1060641000</v>
      </c>
      <c r="E67" s="10">
        <v>747425000</v>
      </c>
      <c r="F67" s="10">
        <v>1278012000</v>
      </c>
      <c r="G67" s="10">
        <v>1740653000</v>
      </c>
      <c r="H67" s="10">
        <v>2940327000</v>
      </c>
      <c r="I67" s="10">
        <v>3965192000</v>
      </c>
      <c r="J67" s="10">
        <f>J60+J65</f>
        <v>4685789000</v>
      </c>
    </row>
    <row r="68" spans="1:10" ht="19" x14ac:dyDescent="0.25">
      <c r="A68" s="5" t="s">
        <v>59</v>
      </c>
      <c r="B68" s="1">
        <v>288000</v>
      </c>
      <c r="C68" s="1">
        <v>294000</v>
      </c>
      <c r="D68" s="1">
        <v>294000</v>
      </c>
      <c r="E68" s="1">
        <v>295000</v>
      </c>
      <c r="F68" s="1">
        <v>296000</v>
      </c>
      <c r="G68" s="1">
        <v>301000</v>
      </c>
      <c r="H68" s="1">
        <v>304000</v>
      </c>
      <c r="I68" s="1">
        <v>310000</v>
      </c>
      <c r="J68" s="1">
        <v>310000</v>
      </c>
    </row>
    <row r="69" spans="1:10" ht="19" x14ac:dyDescent="0.25">
      <c r="A69" s="5" t="s">
        <v>60</v>
      </c>
      <c r="B69" s="1">
        <v>11711000</v>
      </c>
      <c r="C69" s="1">
        <v>44378000</v>
      </c>
      <c r="D69" s="1">
        <v>140631000</v>
      </c>
      <c r="E69" s="1">
        <v>212236000</v>
      </c>
      <c r="F69" s="1">
        <v>357231000</v>
      </c>
      <c r="G69" s="1">
        <v>559494000</v>
      </c>
      <c r="H69" s="1">
        <v>873291000</v>
      </c>
      <c r="I69" s="1">
        <v>1336922000</v>
      </c>
      <c r="J69" s="1">
        <v>1902857000</v>
      </c>
    </row>
    <row r="70" spans="1:10" ht="19" x14ac:dyDescent="0.25">
      <c r="A70" s="5" t="s">
        <v>61</v>
      </c>
      <c r="B70" s="1" t="s">
        <v>91</v>
      </c>
      <c r="C70" s="1" t="s">
        <v>91</v>
      </c>
      <c r="D70" s="1" t="s">
        <v>91</v>
      </c>
      <c r="E70" s="1" t="s">
        <v>91</v>
      </c>
      <c r="F70" s="1" t="s">
        <v>91</v>
      </c>
      <c r="G70" s="1" t="s">
        <v>91</v>
      </c>
      <c r="H70" s="1" t="s">
        <v>91</v>
      </c>
      <c r="I70" s="1" t="s">
        <v>91</v>
      </c>
      <c r="J70" s="1" t="s">
        <v>91</v>
      </c>
    </row>
    <row r="71" spans="1:10" ht="19" x14ac:dyDescent="0.25">
      <c r="A71" s="5" t="s">
        <v>62</v>
      </c>
      <c r="B71" s="1">
        <v>111893000</v>
      </c>
      <c r="C71" s="1">
        <v>201160000</v>
      </c>
      <c r="D71" s="1">
        <v>174037000</v>
      </c>
      <c r="E71" s="1">
        <v>177246000</v>
      </c>
      <c r="F71" s="1">
        <v>224877000</v>
      </c>
      <c r="G71" s="1">
        <v>308526000</v>
      </c>
      <c r="H71" s="1">
        <v>344539000</v>
      </c>
      <c r="I71" s="1">
        <v>473182000</v>
      </c>
      <c r="J71" s="1">
        <v>564139000</v>
      </c>
    </row>
    <row r="72" spans="1:10" ht="19" x14ac:dyDescent="0.25">
      <c r="A72" s="6" t="s">
        <v>63</v>
      </c>
      <c r="B72" s="10">
        <v>123892000</v>
      </c>
      <c r="C72" s="10">
        <v>245832000</v>
      </c>
      <c r="D72" s="10">
        <v>314962000</v>
      </c>
      <c r="E72" s="10">
        <v>389777000</v>
      </c>
      <c r="F72" s="10">
        <v>582404000</v>
      </c>
      <c r="G72" s="10">
        <v>868321000</v>
      </c>
      <c r="H72" s="10">
        <v>1218134000</v>
      </c>
      <c r="I72" s="10">
        <v>1810414000</v>
      </c>
      <c r="J72" s="10">
        <v>2412118000</v>
      </c>
    </row>
    <row r="73" spans="1:10" ht="20" thickBot="1" x14ac:dyDescent="0.3">
      <c r="A73" s="7" t="s">
        <v>64</v>
      </c>
      <c r="B73" s="11">
        <v>490247000</v>
      </c>
      <c r="C73" s="11">
        <v>821416000</v>
      </c>
      <c r="D73" s="11">
        <v>1375603000</v>
      </c>
      <c r="E73" s="11">
        <v>1137202000</v>
      </c>
      <c r="F73" s="11">
        <v>1860416000</v>
      </c>
      <c r="G73" s="11">
        <v>2608974000</v>
      </c>
      <c r="H73" s="11">
        <v>4158461000</v>
      </c>
      <c r="I73" s="11">
        <v>5775606000</v>
      </c>
      <c r="J73" s="11">
        <f>J67+J72</f>
        <v>7097907000</v>
      </c>
    </row>
    <row r="74" spans="1:10" ht="20" thickTop="1" x14ac:dyDescent="0.25">
      <c r="A74" s="5" t="s">
        <v>28</v>
      </c>
      <c r="B74" s="13" t="s">
        <v>92</v>
      </c>
      <c r="C74" s="13" t="s">
        <v>92</v>
      </c>
      <c r="D74" s="13" t="s">
        <v>92</v>
      </c>
      <c r="E74" s="13" t="s">
        <v>92</v>
      </c>
      <c r="F74" s="13" t="s">
        <v>92</v>
      </c>
      <c r="G74" s="13" t="s">
        <v>92</v>
      </c>
      <c r="H74" s="13" t="s">
        <v>92</v>
      </c>
      <c r="I74" s="13" t="s">
        <v>92</v>
      </c>
      <c r="J74" s="13" t="s">
        <v>92</v>
      </c>
    </row>
    <row r="75" spans="1:10" ht="21" x14ac:dyDescent="0.25">
      <c r="A75" s="4" t="s">
        <v>65</v>
      </c>
      <c r="B75" s="9" t="s">
        <v>90</v>
      </c>
      <c r="C75" s="9" t="s">
        <v>90</v>
      </c>
      <c r="D75" s="9" t="s">
        <v>90</v>
      </c>
      <c r="E75" s="9" t="s">
        <v>90</v>
      </c>
      <c r="F75" s="9" t="s">
        <v>90</v>
      </c>
      <c r="G75" s="9" t="s">
        <v>90</v>
      </c>
      <c r="H75" s="9" t="s">
        <v>90</v>
      </c>
      <c r="I75" s="9" t="s">
        <v>90</v>
      </c>
      <c r="J75" s="9" t="s">
        <v>90</v>
      </c>
    </row>
    <row r="76" spans="1:10" ht="19" x14ac:dyDescent="0.25">
      <c r="A76" s="5" t="s">
        <v>66</v>
      </c>
      <c r="B76" s="1">
        <v>10864000</v>
      </c>
      <c r="C76" s="1">
        <v>33608000</v>
      </c>
      <c r="D76" s="1">
        <v>97230000</v>
      </c>
      <c r="E76" s="1">
        <v>71307000</v>
      </c>
      <c r="F76" s="1">
        <v>131146000</v>
      </c>
      <c r="G76" s="1">
        <v>204039000</v>
      </c>
      <c r="H76" s="1">
        <v>261019000</v>
      </c>
      <c r="I76" s="1">
        <v>469717000</v>
      </c>
      <c r="J76" s="1">
        <f>J28</f>
        <v>564139000</v>
      </c>
    </row>
    <row r="77" spans="1:10" ht="19" x14ac:dyDescent="0.25">
      <c r="A77" s="5" t="s">
        <v>13</v>
      </c>
      <c r="B77" s="1">
        <v>1056000</v>
      </c>
      <c r="C77" s="1">
        <v>2218000</v>
      </c>
      <c r="D77" s="1">
        <v>4136000</v>
      </c>
      <c r="E77" s="1">
        <v>5936000</v>
      </c>
      <c r="F77" s="1">
        <v>8736000</v>
      </c>
      <c r="G77" s="1">
        <v>22326000</v>
      </c>
      <c r="H77" s="1">
        <v>28567000</v>
      </c>
      <c r="I77" s="1">
        <v>35011000</v>
      </c>
      <c r="J77" s="1">
        <f>J18</f>
        <v>63613000</v>
      </c>
    </row>
    <row r="78" spans="1:10" ht="19" x14ac:dyDescent="0.25">
      <c r="A78" s="5" t="s">
        <v>67</v>
      </c>
      <c r="B78" s="1" t="s">
        <v>91</v>
      </c>
      <c r="C78" s="1" t="s">
        <v>91</v>
      </c>
      <c r="D78" s="1" t="s">
        <v>91</v>
      </c>
      <c r="E78" s="1" t="s">
        <v>91</v>
      </c>
      <c r="F78" s="1" t="s">
        <v>91</v>
      </c>
      <c r="G78" s="1" t="s">
        <v>91</v>
      </c>
      <c r="H78" s="1" t="s">
        <v>91</v>
      </c>
      <c r="I78" s="1" t="s">
        <v>91</v>
      </c>
      <c r="J78" s="1" t="s">
        <v>91</v>
      </c>
    </row>
    <row r="79" spans="1:10" ht="19" x14ac:dyDescent="0.25">
      <c r="A79" s="5" t="s">
        <v>68</v>
      </c>
      <c r="B79" s="1">
        <v>1709000</v>
      </c>
      <c r="C79" s="1">
        <v>2175000</v>
      </c>
      <c r="D79" s="1">
        <v>1030000</v>
      </c>
      <c r="E79" s="1">
        <v>1277000</v>
      </c>
      <c r="F79" s="1">
        <v>3537000</v>
      </c>
      <c r="G79" s="1">
        <v>3125000</v>
      </c>
      <c r="H79" s="1">
        <v>7994000</v>
      </c>
      <c r="I79" s="1">
        <v>5893000</v>
      </c>
      <c r="J79" s="1">
        <v>7000000</v>
      </c>
    </row>
    <row r="80" spans="1:10" ht="19" x14ac:dyDescent="0.25">
      <c r="A80" s="14" t="s">
        <v>103</v>
      </c>
      <c r="B80" s="15">
        <f t="shared" ref="B80:J80" si="18">B79/B3</f>
        <v>1.11208719700667E-2</v>
      </c>
      <c r="C80" s="15">
        <f t="shared" si="18"/>
        <v>6.5689925430608784E-3</v>
      </c>
      <c r="D80" s="15">
        <f t="shared" si="18"/>
        <v>1.5621184753117033E-3</v>
      </c>
      <c r="E80" s="15">
        <f t="shared" si="18"/>
        <v>1.2613093121567698E-3</v>
      </c>
      <c r="F80" s="15">
        <f t="shared" si="18"/>
        <v>2.1398132306642433E-3</v>
      </c>
      <c r="G80" s="15">
        <f t="shared" si="18"/>
        <v>1.1762385509644403E-3</v>
      </c>
      <c r="H80" s="15">
        <f t="shared" si="18"/>
        <v>2.1953161279940157E-3</v>
      </c>
      <c r="I80" s="15">
        <f t="shared" si="18"/>
        <v>9.8291712389075728E-4</v>
      </c>
      <c r="J80" s="15">
        <f t="shared" si="18"/>
        <v>7.8337797282148464E-4</v>
      </c>
    </row>
    <row r="81" spans="1:18" ht="19" x14ac:dyDescent="0.25">
      <c r="A81" s="5" t="s">
        <v>69</v>
      </c>
      <c r="B81" s="1">
        <v>130651000</v>
      </c>
      <c r="C81" s="1">
        <v>100546000</v>
      </c>
      <c r="D81" s="1">
        <v>78606000</v>
      </c>
      <c r="E81" s="1">
        <v>141886000</v>
      </c>
      <c r="F81" s="1">
        <v>221422000</v>
      </c>
      <c r="G81" s="1">
        <v>300409000</v>
      </c>
      <c r="H81" s="1">
        <v>686210000</v>
      </c>
      <c r="I81" s="1">
        <v>1323437000</v>
      </c>
      <c r="J81" s="1">
        <v>1423000000</v>
      </c>
    </row>
    <row r="82" spans="1:18" ht="19" x14ac:dyDescent="0.25">
      <c r="A82" s="5" t="s">
        <v>70</v>
      </c>
      <c r="B82" s="1" t="s">
        <v>91</v>
      </c>
      <c r="C82" s="1" t="s">
        <v>91</v>
      </c>
      <c r="D82" s="1" t="s">
        <v>91</v>
      </c>
      <c r="E82" s="1" t="s">
        <v>91</v>
      </c>
      <c r="F82" s="1" t="s">
        <v>91</v>
      </c>
      <c r="G82" s="1" t="s">
        <v>91</v>
      </c>
      <c r="H82" s="1" t="s">
        <v>91</v>
      </c>
      <c r="I82" s="1" t="s">
        <v>91</v>
      </c>
      <c r="J82" s="1" t="s">
        <v>91</v>
      </c>
    </row>
    <row r="83" spans="1:18" ht="21" x14ac:dyDescent="0.25">
      <c r="A83" s="5" t="s">
        <v>34</v>
      </c>
      <c r="B83" s="1">
        <v>214000</v>
      </c>
      <c r="C83" s="1">
        <v>-1394000</v>
      </c>
      <c r="D83" s="1">
        <v>-1784000</v>
      </c>
      <c r="E83" s="1">
        <v>-771000</v>
      </c>
      <c r="F83" s="1">
        <v>-3847000</v>
      </c>
      <c r="G83" s="1">
        <v>844000</v>
      </c>
      <c r="H83" s="1">
        <v>-12528000</v>
      </c>
      <c r="I83" s="1">
        <v>-3851000</v>
      </c>
      <c r="J83" s="1"/>
      <c r="Q83" s="66" t="s">
        <v>124</v>
      </c>
      <c r="R83" s="67"/>
    </row>
    <row r="84" spans="1:18" ht="19" x14ac:dyDescent="0.25">
      <c r="A84" s="5" t="s">
        <v>47</v>
      </c>
      <c r="B84" s="1" t="s">
        <v>91</v>
      </c>
      <c r="C84" s="1" t="s">
        <v>91</v>
      </c>
      <c r="D84" s="1" t="s">
        <v>91</v>
      </c>
      <c r="E84" s="1" t="s">
        <v>91</v>
      </c>
      <c r="F84" s="1" t="s">
        <v>91</v>
      </c>
      <c r="G84" s="1" t="s">
        <v>91</v>
      </c>
      <c r="H84" s="1" t="s">
        <v>91</v>
      </c>
      <c r="I84" s="1" t="s">
        <v>91</v>
      </c>
      <c r="J84" s="1" t="s">
        <v>91</v>
      </c>
      <c r="Q84" s="68" t="s">
        <v>125</v>
      </c>
      <c r="R84" s="68"/>
    </row>
    <row r="85" spans="1:18" ht="20" x14ac:dyDescent="0.25">
      <c r="A85" s="5" t="s">
        <v>71</v>
      </c>
      <c r="B85" s="1" t="s">
        <v>91</v>
      </c>
      <c r="C85" s="1" t="s">
        <v>91</v>
      </c>
      <c r="D85" s="1" t="s">
        <v>91</v>
      </c>
      <c r="E85" s="1" t="s">
        <v>91</v>
      </c>
      <c r="F85" s="1" t="s">
        <v>91</v>
      </c>
      <c r="G85" s="1" t="s">
        <v>91</v>
      </c>
      <c r="H85" s="1" t="s">
        <v>91</v>
      </c>
      <c r="I85" s="1" t="s">
        <v>91</v>
      </c>
      <c r="J85" s="1" t="s">
        <v>91</v>
      </c>
      <c r="Q85" s="44" t="s">
        <v>126</v>
      </c>
      <c r="R85" s="45">
        <f>J17</f>
        <v>11963000</v>
      </c>
    </row>
    <row r="86" spans="1:18" ht="20" x14ac:dyDescent="0.25">
      <c r="A86" s="5" t="s">
        <v>72</v>
      </c>
      <c r="B86" s="1">
        <v>1501000</v>
      </c>
      <c r="C86" s="1">
        <v>-149000</v>
      </c>
      <c r="D86" s="1">
        <v>8563000</v>
      </c>
      <c r="E86" s="1">
        <v>-19794000</v>
      </c>
      <c r="F86" s="1">
        <v>19164000</v>
      </c>
      <c r="G86" s="1">
        <v>-444000</v>
      </c>
      <c r="H86" s="1">
        <v>32857000</v>
      </c>
      <c r="I86" s="1">
        <v>-13912000</v>
      </c>
      <c r="J86" s="1"/>
      <c r="Q86" s="44" t="s">
        <v>127</v>
      </c>
      <c r="R86" s="45">
        <f>J56</f>
        <v>33200000</v>
      </c>
    </row>
    <row r="87" spans="1:18" ht="20" x14ac:dyDescent="0.25">
      <c r="A87" s="6" t="s">
        <v>73</v>
      </c>
      <c r="B87" s="10">
        <v>145781000</v>
      </c>
      <c r="C87" s="10">
        <v>138398000</v>
      </c>
      <c r="D87" s="10">
        <v>189565000</v>
      </c>
      <c r="E87" s="10">
        <v>200612000</v>
      </c>
      <c r="F87" s="10">
        <v>384005000</v>
      </c>
      <c r="G87" s="10">
        <v>529455000</v>
      </c>
      <c r="H87" s="10">
        <v>1016647000</v>
      </c>
      <c r="I87" s="10">
        <v>1820146000</v>
      </c>
      <c r="J87" s="10">
        <v>2029379000</v>
      </c>
      <c r="Q87" s="44" t="s">
        <v>128</v>
      </c>
      <c r="R87" s="45">
        <f>J61</f>
        <v>169873000</v>
      </c>
    </row>
    <row r="88" spans="1:18" ht="20" x14ac:dyDescent="0.25">
      <c r="A88" s="5" t="s">
        <v>74</v>
      </c>
      <c r="B88" s="1">
        <v>-3353000</v>
      </c>
      <c r="C88" s="1">
        <v>-5236000</v>
      </c>
      <c r="D88" s="1">
        <v>-10537000</v>
      </c>
      <c r="E88" s="1">
        <v>-9685000</v>
      </c>
      <c r="F88" s="1">
        <v>-11041000</v>
      </c>
      <c r="G88" s="1">
        <v>-15186000</v>
      </c>
      <c r="H88" s="1">
        <v>-17097000</v>
      </c>
      <c r="I88" s="1">
        <v>-51387000</v>
      </c>
      <c r="J88" s="1">
        <v>-95575000</v>
      </c>
      <c r="Q88" s="46" t="s">
        <v>129</v>
      </c>
      <c r="R88" s="47">
        <f>R85/(R86+R87)</f>
        <v>5.8909850152408245E-2</v>
      </c>
    </row>
    <row r="89" spans="1:18" ht="20" customHeight="1" x14ac:dyDescent="0.25">
      <c r="A89" s="14" t="s">
        <v>104</v>
      </c>
      <c r="B89" s="15">
        <f t="shared" ref="B89:J89" si="19">(-1*B88)/B3</f>
        <v>2.1818773385391246E-2</v>
      </c>
      <c r="C89" s="15">
        <f t="shared" si="19"/>
        <v>1.5813905726651385E-2</v>
      </c>
      <c r="D89" s="15">
        <f t="shared" si="19"/>
        <v>1.5980623664426621E-2</v>
      </c>
      <c r="E89" s="15">
        <f t="shared" si="19"/>
        <v>9.5659989727786346E-3</v>
      </c>
      <c r="F89" s="15">
        <f t="shared" si="19"/>
        <v>6.6795809668543718E-3</v>
      </c>
      <c r="G89" s="15">
        <f t="shared" si="19"/>
        <v>5.7159547631827172E-3</v>
      </c>
      <c r="H89" s="15">
        <f t="shared" si="19"/>
        <v>4.6951863698165728E-3</v>
      </c>
      <c r="I89" s="15">
        <f t="shared" si="19"/>
        <v>8.5710439920879591E-3</v>
      </c>
      <c r="J89" s="15">
        <f t="shared" si="19"/>
        <v>1.0695907107487627E-2</v>
      </c>
      <c r="Q89" s="44" t="s">
        <v>105</v>
      </c>
      <c r="R89" s="45">
        <f>J27</f>
        <v>149690000</v>
      </c>
    </row>
    <row r="90" spans="1:18" ht="20" x14ac:dyDescent="0.25">
      <c r="A90" s="5" t="s">
        <v>75</v>
      </c>
      <c r="B90" s="1" t="s">
        <v>91</v>
      </c>
      <c r="C90" s="1" t="s">
        <v>91</v>
      </c>
      <c r="D90" s="1" t="s">
        <v>91</v>
      </c>
      <c r="E90" s="1" t="s">
        <v>91</v>
      </c>
      <c r="F90" s="1" t="s">
        <v>91</v>
      </c>
      <c r="G90" s="1" t="s">
        <v>91</v>
      </c>
      <c r="H90" s="1" t="s">
        <v>91</v>
      </c>
      <c r="I90" s="1" t="s">
        <v>91</v>
      </c>
      <c r="J90" s="1" t="s">
        <v>91</v>
      </c>
      <c r="Q90" s="44" t="s">
        <v>19</v>
      </c>
      <c r="R90" s="45">
        <f>J25</f>
        <v>653424000</v>
      </c>
    </row>
    <row r="91" spans="1:18" ht="20" x14ac:dyDescent="0.25">
      <c r="A91" s="5" t="s">
        <v>76</v>
      </c>
      <c r="B91" s="1" t="s">
        <v>91</v>
      </c>
      <c r="C91" s="1" t="s">
        <v>91</v>
      </c>
      <c r="D91" s="1" t="s">
        <v>91</v>
      </c>
      <c r="E91" s="1">
        <v>-6989000</v>
      </c>
      <c r="F91" s="1">
        <v>-9607000</v>
      </c>
      <c r="G91" s="1">
        <v>-10073000</v>
      </c>
      <c r="H91" s="1">
        <v>-13355000</v>
      </c>
      <c r="I91" s="1">
        <v>-211000</v>
      </c>
      <c r="J91" s="1">
        <v>0</v>
      </c>
      <c r="Q91" s="46" t="s">
        <v>130</v>
      </c>
      <c r="R91" s="47">
        <f>R89/R90</f>
        <v>0.22908555547393422</v>
      </c>
    </row>
    <row r="92" spans="1:18" ht="20" x14ac:dyDescent="0.25">
      <c r="A92" s="5" t="s">
        <v>77</v>
      </c>
      <c r="B92" s="1" t="s">
        <v>91</v>
      </c>
      <c r="C92" s="1" t="s">
        <v>91</v>
      </c>
      <c r="D92" s="1" t="s">
        <v>91</v>
      </c>
      <c r="E92" s="1" t="s">
        <v>91</v>
      </c>
      <c r="F92" s="1">
        <v>6989000</v>
      </c>
      <c r="G92" s="1">
        <v>7275000</v>
      </c>
      <c r="H92" s="1">
        <v>13088000</v>
      </c>
      <c r="I92" s="1">
        <v>12427000</v>
      </c>
      <c r="J92" s="1">
        <v>0</v>
      </c>
      <c r="Q92" s="46" t="s">
        <v>131</v>
      </c>
      <c r="R92" s="47">
        <f>R88*(1-R91)</f>
        <v>4.5414454407357578E-2</v>
      </c>
    </row>
    <row r="93" spans="1:18" ht="19" x14ac:dyDescent="0.25">
      <c r="A93" s="5" t="s">
        <v>78</v>
      </c>
      <c r="B93" s="1">
        <v>-1180000</v>
      </c>
      <c r="C93" s="1">
        <v>-1626000</v>
      </c>
      <c r="D93" s="1">
        <v>-1923000</v>
      </c>
      <c r="E93" s="1">
        <v>-1273000</v>
      </c>
      <c r="F93" s="1">
        <v>-2769000</v>
      </c>
      <c r="G93" s="1">
        <v>-4773000</v>
      </c>
      <c r="H93" s="1">
        <v>-4795000</v>
      </c>
      <c r="I93" s="1">
        <v>-2959000</v>
      </c>
      <c r="J93" s="1">
        <v>-3523000</v>
      </c>
      <c r="Q93" s="68" t="s">
        <v>132</v>
      </c>
      <c r="R93" s="68"/>
    </row>
    <row r="94" spans="1:18" ht="20" x14ac:dyDescent="0.25">
      <c r="A94" s="6" t="s">
        <v>79</v>
      </c>
      <c r="B94" s="10">
        <v>-4533000</v>
      </c>
      <c r="C94" s="10">
        <v>-6862000</v>
      </c>
      <c r="D94" s="10">
        <v>-12460000</v>
      </c>
      <c r="E94" s="10">
        <v>-17947000</v>
      </c>
      <c r="F94" s="10">
        <v>-16428000</v>
      </c>
      <c r="G94" s="10">
        <v>-22757000</v>
      </c>
      <c r="H94" s="10">
        <v>-22159000</v>
      </c>
      <c r="I94" s="10">
        <v>-42130000</v>
      </c>
      <c r="J94" s="10">
        <v>-87691000</v>
      </c>
      <c r="Q94" s="44" t="s">
        <v>133</v>
      </c>
      <c r="R94" s="48">
        <f>[1]Treasuries!$C$8</f>
        <v>4.0480000000000002E-2</v>
      </c>
    </row>
    <row r="95" spans="1:18" ht="20" x14ac:dyDescent="0.25">
      <c r="A95" s="5" t="s">
        <v>80</v>
      </c>
      <c r="B95" s="1" t="s">
        <v>91</v>
      </c>
      <c r="C95" s="1" t="s">
        <v>91</v>
      </c>
      <c r="D95" s="1" t="s">
        <v>91</v>
      </c>
      <c r="E95" s="1" t="s">
        <v>91</v>
      </c>
      <c r="F95" s="1" t="s">
        <v>91</v>
      </c>
      <c r="G95" s="1" t="s">
        <v>91</v>
      </c>
      <c r="H95" s="1" t="s">
        <v>91</v>
      </c>
      <c r="I95" s="1" t="s">
        <v>91</v>
      </c>
      <c r="J95" s="1" t="s">
        <v>91</v>
      </c>
      <c r="Q95" s="44" t="s">
        <v>134</v>
      </c>
      <c r="R95" s="49" cm="1">
        <f t="array" ref="R95">_FV(A1,"Beta")</f>
        <v>1.3108</v>
      </c>
    </row>
    <row r="96" spans="1:18" ht="20" x14ac:dyDescent="0.25">
      <c r="A96" s="5" t="s">
        <v>81</v>
      </c>
      <c r="B96" s="1">
        <v>96717000</v>
      </c>
      <c r="C96" s="1">
        <v>39981000</v>
      </c>
      <c r="D96" s="1">
        <v>172000</v>
      </c>
      <c r="E96" s="1">
        <v>984000</v>
      </c>
      <c r="F96" s="1">
        <v>36153000</v>
      </c>
      <c r="G96" s="1">
        <v>37613000</v>
      </c>
      <c r="H96" s="1">
        <v>12832000</v>
      </c>
      <c r="I96" s="1">
        <v>105285000</v>
      </c>
      <c r="J96" s="1">
        <v>9926000</v>
      </c>
      <c r="Q96" s="44" t="s">
        <v>135</v>
      </c>
      <c r="R96" s="48">
        <v>8.4000000000000005E-2</v>
      </c>
    </row>
    <row r="97" spans="1:18" ht="20" x14ac:dyDescent="0.25">
      <c r="A97" s="5" t="s">
        <v>82</v>
      </c>
      <c r="B97" s="1" t="s">
        <v>91</v>
      </c>
      <c r="C97" s="1" t="s">
        <v>91</v>
      </c>
      <c r="D97" s="1" t="s">
        <v>91</v>
      </c>
      <c r="E97" s="1" t="s">
        <v>91</v>
      </c>
      <c r="F97" s="1">
        <v>-31035000</v>
      </c>
      <c r="G97" s="1">
        <v>-18323000</v>
      </c>
      <c r="H97" s="1" t="s">
        <v>91</v>
      </c>
      <c r="I97" s="1" t="s">
        <v>91</v>
      </c>
      <c r="J97" s="1" t="s">
        <v>91</v>
      </c>
      <c r="Q97" s="46" t="s">
        <v>136</v>
      </c>
      <c r="R97" s="47">
        <f>(R94)+((R95)*(R96-R94))</f>
        <v>9.7526016000000007E-2</v>
      </c>
    </row>
    <row r="98" spans="1:18" ht="19" x14ac:dyDescent="0.25">
      <c r="A98" s="5" t="s">
        <v>83</v>
      </c>
      <c r="B98" s="1" t="s">
        <v>91</v>
      </c>
      <c r="C98" s="1" t="s">
        <v>91</v>
      </c>
      <c r="D98" s="1" t="s">
        <v>91</v>
      </c>
      <c r="E98" s="1" t="s">
        <v>91</v>
      </c>
      <c r="F98" s="1" t="s">
        <v>91</v>
      </c>
      <c r="G98" s="1" t="s">
        <v>91</v>
      </c>
      <c r="H98" s="1" t="s">
        <v>91</v>
      </c>
      <c r="I98" s="1" t="s">
        <v>91</v>
      </c>
      <c r="J98" s="1">
        <v>0</v>
      </c>
      <c r="Q98" s="68" t="s">
        <v>137</v>
      </c>
      <c r="R98" s="68"/>
    </row>
    <row r="99" spans="1:18" ht="20" x14ac:dyDescent="0.25">
      <c r="A99" s="5" t="s">
        <v>84</v>
      </c>
      <c r="B99" s="1" t="s">
        <v>91</v>
      </c>
      <c r="C99" s="1" t="s">
        <v>91</v>
      </c>
      <c r="D99" s="1" t="s">
        <v>91</v>
      </c>
      <c r="E99" s="1" t="s">
        <v>91</v>
      </c>
      <c r="F99" s="1" t="s">
        <v>91</v>
      </c>
      <c r="G99" s="1">
        <v>-9932000</v>
      </c>
      <c r="H99" s="1">
        <v>-9439000</v>
      </c>
      <c r="I99" s="1">
        <v>-9045000</v>
      </c>
      <c r="J99" s="1">
        <v>-22144000</v>
      </c>
      <c r="Q99" s="44" t="s">
        <v>138</v>
      </c>
      <c r="R99" s="45">
        <f>R86+R87</f>
        <v>203073000</v>
      </c>
    </row>
    <row r="100" spans="1:18" ht="20" x14ac:dyDescent="0.25">
      <c r="A100" s="6" t="s">
        <v>85</v>
      </c>
      <c r="B100" s="10">
        <v>96717000</v>
      </c>
      <c r="C100" s="10">
        <v>39981000</v>
      </c>
      <c r="D100" s="10">
        <v>172000</v>
      </c>
      <c r="E100" s="10">
        <v>984000</v>
      </c>
      <c r="F100" s="10">
        <v>5118000</v>
      </c>
      <c r="G100" s="10">
        <v>9358000</v>
      </c>
      <c r="H100" s="10">
        <v>3393000</v>
      </c>
      <c r="I100" s="10">
        <v>96240000</v>
      </c>
      <c r="J100" s="10">
        <v>-12218000</v>
      </c>
      <c r="Q100" s="46" t="s">
        <v>139</v>
      </c>
      <c r="R100" s="47">
        <f>R99/R103</f>
        <v>4.4591459922856402E-3</v>
      </c>
    </row>
    <row r="101" spans="1:18" ht="20" x14ac:dyDescent="0.25">
      <c r="A101" s="5" t="s">
        <v>86</v>
      </c>
      <c r="B101" s="1">
        <v>134000</v>
      </c>
      <c r="C101" s="1">
        <v>-85000</v>
      </c>
      <c r="D101" s="1">
        <v>472000</v>
      </c>
      <c r="E101" s="1">
        <v>-786000</v>
      </c>
      <c r="F101" s="1">
        <v>-3709000</v>
      </c>
      <c r="G101" s="1">
        <v>-2584000</v>
      </c>
      <c r="H101" s="1">
        <v>-5783000</v>
      </c>
      <c r="I101" s="1">
        <v>4352000</v>
      </c>
      <c r="J101" s="1">
        <v>-14998000</v>
      </c>
      <c r="Q101" s="44" t="s">
        <v>140</v>
      </c>
      <c r="R101" s="50" cm="1">
        <f t="array" ref="R101">_FV(A1,"Market cap",TRUE)</f>
        <v>45337710000</v>
      </c>
    </row>
    <row r="102" spans="1:18" ht="20" x14ac:dyDescent="0.25">
      <c r="A102" s="6" t="s">
        <v>87</v>
      </c>
      <c r="B102" s="10">
        <v>238099000</v>
      </c>
      <c r="C102" s="10">
        <v>171432000</v>
      </c>
      <c r="D102" s="10">
        <v>177749000</v>
      </c>
      <c r="E102" s="10">
        <v>182863000</v>
      </c>
      <c r="F102" s="10">
        <v>368986000</v>
      </c>
      <c r="G102" s="10">
        <v>513472000</v>
      </c>
      <c r="H102" s="10">
        <v>992098000</v>
      </c>
      <c r="I102" s="10">
        <v>1878608000</v>
      </c>
      <c r="J102" s="10">
        <v>1921249000</v>
      </c>
      <c r="Q102" s="46" t="s">
        <v>141</v>
      </c>
      <c r="R102" s="47">
        <f>R101/R103</f>
        <v>0.99554085400771442</v>
      </c>
    </row>
    <row r="103" spans="1:18" ht="20" x14ac:dyDescent="0.25">
      <c r="A103" s="5" t="s">
        <v>88</v>
      </c>
      <c r="B103" s="1">
        <v>92787000</v>
      </c>
      <c r="C103" s="1">
        <v>330886000</v>
      </c>
      <c r="D103" s="1">
        <v>502318000</v>
      </c>
      <c r="E103" s="1">
        <v>680067000</v>
      </c>
      <c r="F103" s="1">
        <v>862930000</v>
      </c>
      <c r="G103" s="1">
        <v>1231916000</v>
      </c>
      <c r="H103" s="1">
        <v>1745388000</v>
      </c>
      <c r="I103" s="1">
        <v>2737486000</v>
      </c>
      <c r="J103" s="1">
        <v>4616094000</v>
      </c>
      <c r="Q103" s="46" t="s">
        <v>142</v>
      </c>
      <c r="R103" s="51">
        <f>R99+R101</f>
        <v>45540783000</v>
      </c>
    </row>
    <row r="104" spans="1:18" ht="20" thickBot="1" x14ac:dyDescent="0.3">
      <c r="A104" s="7" t="s">
        <v>89</v>
      </c>
      <c r="B104" s="11">
        <v>330886000</v>
      </c>
      <c r="C104" s="11">
        <v>502318000</v>
      </c>
      <c r="D104" s="11">
        <v>680067000</v>
      </c>
      <c r="E104" s="11">
        <v>862930000</v>
      </c>
      <c r="F104" s="11">
        <v>1231916000</v>
      </c>
      <c r="G104" s="11">
        <v>1745388000</v>
      </c>
      <c r="H104" s="11">
        <v>2737486000</v>
      </c>
      <c r="I104" s="11">
        <v>4616094000</v>
      </c>
      <c r="J104" s="11">
        <v>6522345000</v>
      </c>
      <c r="Q104" s="68" t="s">
        <v>143</v>
      </c>
      <c r="R104" s="68"/>
    </row>
    <row r="105" spans="1:18" ht="21" thickTop="1" x14ac:dyDescent="0.25">
      <c r="A105" s="14" t="s">
        <v>160</v>
      </c>
      <c r="B105" s="1">
        <f t="shared" ref="B105:I105" si="20">(B22*(1-$R$91))+B77+B88+B81</f>
        <v>138864647.53666839</v>
      </c>
      <c r="C105" s="1">
        <f t="shared" si="20"/>
        <v>129016771.40111169</v>
      </c>
      <c r="D105" s="1">
        <f t="shared" si="20"/>
        <v>120725584.22402605</v>
      </c>
      <c r="E105" s="1">
        <f t="shared" si="20"/>
        <v>210135783.63206738</v>
      </c>
      <c r="F105" s="1">
        <f t="shared" si="20"/>
        <v>352539162.91412622</v>
      </c>
      <c r="G105" s="1">
        <f t="shared" si="20"/>
        <v>505515974.78207111</v>
      </c>
      <c r="H105" s="1">
        <f t="shared" si="20"/>
        <v>985793855.35272658</v>
      </c>
      <c r="I105" s="1">
        <f t="shared" si="20"/>
        <v>1765547718.5074317</v>
      </c>
      <c r="J105" s="1">
        <f>(J22*(1-$R$91))+J77+J88+J81</f>
        <v>1903445558.4153628</v>
      </c>
      <c r="K105" s="28">
        <f>J105*(1+$R$106)</f>
        <v>2312525824.0892701</v>
      </c>
      <c r="L105" s="28">
        <f t="shared" ref="L105:O105" si="21">K105*(1+$R$106)</f>
        <v>2809523846.6036472</v>
      </c>
      <c r="M105" s="28">
        <f t="shared" si="21"/>
        <v>3413334529.0287428</v>
      </c>
      <c r="N105" s="28">
        <f t="shared" si="21"/>
        <v>4146913585.070385</v>
      </c>
      <c r="O105" s="28">
        <f t="shared" si="21"/>
        <v>5038150270.8832512</v>
      </c>
      <c r="P105" s="29" t="s">
        <v>163</v>
      </c>
      <c r="Q105" s="52" t="s">
        <v>106</v>
      </c>
      <c r="R105" s="53">
        <f>(R100*R92)+(R102*R97)</f>
        <v>9.7293642938972427E-2</v>
      </c>
    </row>
    <row r="106" spans="1:18" ht="19" x14ac:dyDescent="0.25">
      <c r="A106" s="14" t="s">
        <v>161</v>
      </c>
      <c r="B106" s="1"/>
      <c r="C106" s="15">
        <f t="shared" ref="C106:J106" si="22">(C107/B107)-1</f>
        <v>-6.7140415452153546E-2</v>
      </c>
      <c r="D106" s="15">
        <f t="shared" si="22"/>
        <v>0.34593571341685925</v>
      </c>
      <c r="E106" s="15">
        <f t="shared" si="22"/>
        <v>7.0854444500929148E-2</v>
      </c>
      <c r="F106" s="15">
        <f t="shared" si="22"/>
        <v>0.95268035636106618</v>
      </c>
      <c r="G106" s="15">
        <f t="shared" si="22"/>
        <v>0.37629087372871051</v>
      </c>
      <c r="H106" s="15">
        <f t="shared" si="22"/>
        <v>0.95242945970135184</v>
      </c>
      <c r="I106" s="15">
        <f t="shared" si="22"/>
        <v>0.77511045433297654</v>
      </c>
      <c r="J106" s="15">
        <f t="shared" si="22"/>
        <v>0.13206478649903719</v>
      </c>
      <c r="K106" s="39">
        <v>1000000000</v>
      </c>
      <c r="L106" s="39">
        <v>1100000000</v>
      </c>
      <c r="M106" s="39">
        <v>1504000000</v>
      </c>
      <c r="N106" s="39">
        <v>1948000000</v>
      </c>
      <c r="O106" s="39">
        <v>2310000000</v>
      </c>
      <c r="P106" s="29" t="s">
        <v>164</v>
      </c>
      <c r="Q106" s="54" t="s">
        <v>144</v>
      </c>
      <c r="R106" s="55">
        <f>(SUM(K4:O4)/5)</f>
        <v>0.21491566378944435</v>
      </c>
    </row>
    <row r="107" spans="1:18" ht="19" x14ac:dyDescent="0.25">
      <c r="A107" s="41" t="s">
        <v>162</v>
      </c>
      <c r="B107" s="1">
        <v>141003000</v>
      </c>
      <c r="C107" s="1">
        <v>131536000</v>
      </c>
      <c r="D107" s="1">
        <v>177039000</v>
      </c>
      <c r="E107" s="1">
        <v>189583000</v>
      </c>
      <c r="F107" s="1">
        <v>370195000</v>
      </c>
      <c r="G107" s="1">
        <v>509496000</v>
      </c>
      <c r="H107" s="1">
        <v>994755000</v>
      </c>
      <c r="I107" s="1">
        <v>1765800000</v>
      </c>
      <c r="J107" s="1">
        <v>1999000000</v>
      </c>
      <c r="K107" s="29"/>
      <c r="L107" s="29"/>
      <c r="M107" s="29"/>
      <c r="N107" s="29"/>
      <c r="O107" s="40">
        <f>O106*(1+R107)/(R108-R107)</f>
        <v>32751842399.182537</v>
      </c>
      <c r="P107" s="30" t="s">
        <v>145</v>
      </c>
      <c r="Q107" s="56" t="s">
        <v>146</v>
      </c>
      <c r="R107" s="57">
        <v>2.5000000000000001E-2</v>
      </c>
    </row>
    <row r="108" spans="1:18" ht="19" x14ac:dyDescent="0.25">
      <c r="K108" s="40">
        <f t="shared" ref="K108:N108" si="23">K107+K106</f>
        <v>1000000000</v>
      </c>
      <c r="L108" s="40">
        <f t="shared" si="23"/>
        <v>1100000000</v>
      </c>
      <c r="M108" s="40">
        <f t="shared" si="23"/>
        <v>1504000000</v>
      </c>
      <c r="N108" s="40">
        <f t="shared" si="23"/>
        <v>1948000000</v>
      </c>
      <c r="O108" s="40">
        <f>O107+O106</f>
        <v>35061842399.182541</v>
      </c>
      <c r="P108" s="30" t="s">
        <v>142</v>
      </c>
      <c r="Q108" s="58" t="s">
        <v>147</v>
      </c>
      <c r="R108" s="55">
        <f>R105</f>
        <v>9.7293642938972427E-2</v>
      </c>
    </row>
    <row r="109" spans="1:18" ht="19" x14ac:dyDescent="0.25">
      <c r="K109" s="65" t="s">
        <v>148</v>
      </c>
      <c r="L109" s="65"/>
    </row>
    <row r="110" spans="1:18" ht="20" x14ac:dyDescent="0.25">
      <c r="K110" s="59" t="s">
        <v>149</v>
      </c>
      <c r="L110" s="50">
        <f>NPV(R108,K108,L108,M108,N108,O108)</f>
        <v>26347405952.670425</v>
      </c>
    </row>
    <row r="111" spans="1:18" ht="20" x14ac:dyDescent="0.25">
      <c r="K111" s="59" t="s">
        <v>150</v>
      </c>
      <c r="L111" s="50">
        <f>J40</f>
        <v>5964798000</v>
      </c>
    </row>
    <row r="112" spans="1:18" ht="20" x14ac:dyDescent="0.25">
      <c r="K112" s="59" t="s">
        <v>138</v>
      </c>
      <c r="L112" s="50">
        <f>R99</f>
        <v>203073000</v>
      </c>
    </row>
    <row r="113" spans="11:12" ht="20" x14ac:dyDescent="0.25">
      <c r="K113" s="59" t="s">
        <v>151</v>
      </c>
      <c r="L113" s="50">
        <f>L110+L111-L112</f>
        <v>32109130952.670425</v>
      </c>
    </row>
    <row r="114" spans="11:12" ht="20" x14ac:dyDescent="0.25">
      <c r="K114" s="59" t="s">
        <v>152</v>
      </c>
      <c r="L114" s="59">
        <f>J34*(1+(5*P16))</f>
        <v>31444645.352630943</v>
      </c>
    </row>
    <row r="115" spans="11:12" ht="20" x14ac:dyDescent="0.25">
      <c r="K115" s="60" t="s">
        <v>153</v>
      </c>
      <c r="L115" s="61">
        <f>L113/L114</f>
        <v>1021.131915866365</v>
      </c>
    </row>
    <row r="116" spans="11:12" ht="20" x14ac:dyDescent="0.25">
      <c r="K116" s="59" t="s">
        <v>154</v>
      </c>
      <c r="L116" s="62" cm="1">
        <f t="array" ref="L116">_FV(A1,"Price")</f>
        <v>1472.8</v>
      </c>
    </row>
    <row r="117" spans="11:12" ht="20" x14ac:dyDescent="0.25">
      <c r="K117" s="60" t="s">
        <v>155</v>
      </c>
      <c r="L117" s="63">
        <f>L115/L116-1</f>
        <v>-0.30667306092723723</v>
      </c>
    </row>
    <row r="118" spans="11:12" ht="20" x14ac:dyDescent="0.25">
      <c r="K118" s="60" t="s">
        <v>156</v>
      </c>
      <c r="L118" s="64" t="str">
        <f>IF(L115&gt;L116,"BUY","SELL")</f>
        <v>SELL</v>
      </c>
    </row>
  </sheetData>
  <mergeCells count="6">
    <mergeCell ref="K109:L109"/>
    <mergeCell ref="Q83:R83"/>
    <mergeCell ref="Q84:R84"/>
    <mergeCell ref="Q93:R93"/>
    <mergeCell ref="Q98:R98"/>
    <mergeCell ref="Q104:R104"/>
  </mergeCells>
  <hyperlinks>
    <hyperlink ref="A1" r:id="rId1" tooltip="https://roic.ai/company/ADYEN.AS" display="ROIC.AI | ADYEN.AS" xr:uid="{00000000-0004-0000-0000-000000000000}"/>
    <hyperlink ref="B36" r:id="rId2" tooltip="https://sec.gov" xr:uid="{00000000-0004-0000-0000-000001000000}"/>
    <hyperlink ref="B74" r:id="rId3" tooltip="https://sec.gov" xr:uid="{00000000-0004-0000-0000-000002000000}"/>
    <hyperlink ref="C36" r:id="rId4" tooltip="https://sec.gov" xr:uid="{00000000-0004-0000-0000-000004000000}"/>
    <hyperlink ref="C74" r:id="rId5" tooltip="https://sec.gov" xr:uid="{00000000-0004-0000-0000-000005000000}"/>
    <hyperlink ref="D36" r:id="rId6" tooltip="https://sec.gov" xr:uid="{00000000-0004-0000-0000-000007000000}"/>
    <hyperlink ref="D74" r:id="rId7" tooltip="https://sec.gov" xr:uid="{00000000-0004-0000-0000-000008000000}"/>
    <hyperlink ref="E36" r:id="rId8" tooltip="https://sec.gov" xr:uid="{00000000-0004-0000-0000-00000A000000}"/>
    <hyperlink ref="E74" r:id="rId9" tooltip="https://sec.gov" xr:uid="{00000000-0004-0000-0000-00000B000000}"/>
    <hyperlink ref="F36" r:id="rId10" tooltip="https://sec.gov" xr:uid="{00000000-0004-0000-0000-00000D000000}"/>
    <hyperlink ref="F74" r:id="rId11" tooltip="https://sec.gov" xr:uid="{00000000-0004-0000-0000-00000E000000}"/>
    <hyperlink ref="G36" r:id="rId12" tooltip="https://sec.gov" xr:uid="{00000000-0004-0000-0000-000010000000}"/>
    <hyperlink ref="G74" r:id="rId13" tooltip="https://sec.gov" xr:uid="{00000000-0004-0000-0000-000011000000}"/>
    <hyperlink ref="H36" r:id="rId14" tooltip="https://sec.gov" xr:uid="{00000000-0004-0000-0000-000013000000}"/>
    <hyperlink ref="H74" r:id="rId15" tooltip="https://sec.gov" xr:uid="{00000000-0004-0000-0000-000014000000}"/>
    <hyperlink ref="I36" r:id="rId16" tooltip="https://sec.gov" xr:uid="{00000000-0004-0000-0000-000016000000}"/>
    <hyperlink ref="I74" r:id="rId17" tooltip="https://sec.gov" xr:uid="{00000000-0004-0000-0000-000017000000}"/>
    <hyperlink ref="J36" r:id="rId18" tooltip="https://sec.gov" xr:uid="{55CACCD9-52D9-E54B-BB47-F0004C13DCB7}"/>
    <hyperlink ref="J74" r:id="rId19" tooltip="https://sec.gov" xr:uid="{021651E5-B64B-6B4D-AEE7-3D1CDABACF0D}"/>
    <hyperlink ref="K1" r:id="rId20" display="https://finbox.com/ENXTAM:ADYEN/explorer/revenue_proj/" xr:uid="{A2CAAA8B-B36F-3E4E-9B1A-027FF9D13D05}"/>
    <hyperlink ref="P106" r:id="rId21" xr:uid="{C88F5793-6C9E-174F-BC02-3887840C2D1A}"/>
  </hyperlinks>
  <pageMargins left="0.7" right="0.7" top="0.75" bottom="0.75" header="0.3" footer="0.3"/>
  <drawing r:id="rId22"/>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 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Avi</cp:lastModifiedBy>
  <dcterms:created xsi:type="dcterms:W3CDTF">2023-03-14T03:06:16Z</dcterms:created>
  <dcterms:modified xsi:type="dcterms:W3CDTF">2023-07-11T09:28:41Z</dcterms:modified>
</cp:coreProperties>
</file>