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2CB35A6-8EA3-3241-A223-8D0944B585C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8" i="1" l="1"/>
  <c r="H108" i="1"/>
  <c r="I108" i="1"/>
  <c r="J108" i="1"/>
  <c r="J106" i="1"/>
  <c r="K106" i="1"/>
  <c r="I106" i="1"/>
  <c r="H105" i="1"/>
  <c r="I105" i="1" s="1"/>
  <c r="J105" i="1" s="1"/>
  <c r="K105" i="1" s="1"/>
  <c r="G105" i="1"/>
  <c r="B105" i="1"/>
  <c r="C105" i="1"/>
  <c r="D105" i="1"/>
  <c r="E105" i="1"/>
  <c r="F105" i="1"/>
  <c r="H19" i="1"/>
  <c r="G19" i="1"/>
  <c r="G20" i="1" s="1"/>
  <c r="G29" i="1"/>
  <c r="H29" i="1"/>
  <c r="I29" i="1"/>
  <c r="J29" i="1"/>
  <c r="K29" i="1"/>
  <c r="G30" i="1"/>
  <c r="H30" i="1"/>
  <c r="I30" i="1"/>
  <c r="J30" i="1"/>
  <c r="K30" i="1"/>
  <c r="G21" i="1"/>
  <c r="H21" i="1"/>
  <c r="I21" i="1" l="1"/>
  <c r="I20" i="1"/>
  <c r="H20" i="1"/>
  <c r="J20" i="1" l="1"/>
  <c r="J21" i="1"/>
  <c r="K20" i="1" l="1"/>
  <c r="K21" i="1"/>
  <c r="H114" i="1" l="1"/>
  <c r="H116" i="1" a="1"/>
  <c r="H116" i="1" s="1"/>
  <c r="H111" i="1"/>
  <c r="N101" i="1" a="1"/>
  <c r="N101" i="1" s="1"/>
  <c r="O22" i="1" s="1"/>
  <c r="N95" i="1" a="1"/>
  <c r="N95" i="1" s="1"/>
  <c r="N90" i="1"/>
  <c r="N91" i="1" s="1"/>
  <c r="N89" i="1"/>
  <c r="N87" i="1"/>
  <c r="N86" i="1"/>
  <c r="N99" i="1" s="1"/>
  <c r="N85" i="1"/>
  <c r="N88" i="1" s="1"/>
  <c r="L19" i="1"/>
  <c r="L16" i="1"/>
  <c r="O13" i="1"/>
  <c r="N13" i="1"/>
  <c r="M13" i="1"/>
  <c r="L13" i="1"/>
  <c r="O10" i="1"/>
  <c r="M10" i="1"/>
  <c r="L10" i="1"/>
  <c r="O7" i="1"/>
  <c r="N7" i="1"/>
  <c r="M7" i="1"/>
  <c r="L7" i="1"/>
  <c r="N4" i="1"/>
  <c r="M4" i="1"/>
  <c r="L4" i="1"/>
  <c r="K4" i="1"/>
  <c r="J4" i="1"/>
  <c r="I4" i="1"/>
  <c r="H4" i="1"/>
  <c r="G4" i="1"/>
  <c r="F106" i="1"/>
  <c r="O4" i="1" s="1"/>
  <c r="E106" i="1"/>
  <c r="D106" i="1"/>
  <c r="C106"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9" i="1" l="1"/>
  <c r="N22" i="1"/>
  <c r="M19" i="1"/>
  <c r="N106" i="1"/>
  <c r="N92" i="1"/>
  <c r="N16" i="1"/>
  <c r="O16" i="1"/>
  <c r="M16" i="1"/>
  <c r="N103" i="1"/>
  <c r="N102" i="1" s="1"/>
  <c r="H112" i="1"/>
  <c r="O19" i="1" l="1"/>
  <c r="N100"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 r="N94" i="1" l="1"/>
  <c r="N97" i="1" s="1"/>
  <c r="N105" i="1" s="1"/>
  <c r="N108" i="1" s="1"/>
  <c r="K107" i="1" s="1"/>
  <c r="K108" i="1" s="1"/>
  <c r="H110" i="1" s="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<sst xmlns="http://schemas.openxmlformats.org/spreadsheetml/2006/main" count="230" uniqueCount="167">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</sst>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99999999999995E-2"/>
          <c:y val="0.13283603723960116"/>
          <c:w val="0.86954560530679925"/>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17462</xdr:rowOff>
    </xdr:from>
    <xdr:to>
      <xdr:col>13</xdr:col>
      <xdr:colOff>1571624</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2817.38</v>
    <v>1783.98</v>
    <v>0.84899999999999998</v>
    <v>-44.53</v>
    <v>-1.6742999999999997E-2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2640.64</v>
    <v>Software &amp; IT Services</v>
    <v>Stock</v>
    <v>45117.833333333336</v>
    <v>0</v>
    <v>2603.36</v>
    <v>55418182018</v>
    <v>Constellation Software Inc.</v>
    <v>Constellation Software Inc.</v>
    <v>2625.02</v>
    <v>80.72</v>
    <v>2659.64</v>
    <v>2615.11</v>
    <v>2615.11</v>
    <v>21191530</v>
    <v>CSU</v>
    <v>Constellation Software Inc. (XTSE:CSU)</v>
    <v>18730</v>
    <v>22120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7" activePane="bottomRight" state="frozen"/>
      <selection pane="topRight"/>
      <selection pane="bottomLeft"/>
      <selection pane="bottomRight" activeCell="J100" sqref="J10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20" t="s">
        <v>113</v>
      </c>
      <c r="N6" s="20" t="s">
        <v>114</v>
      </c>
      <c r="O6" s="20"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F107/F3</f>
        <v>0.20084566596194503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(F35+E35+D35+C35+B35)/5</f>
        <v>2.1155833950386775E-2</v>
      </c>
      <c r="M16" s="27">
        <f>N101/F3</f>
        <v>8.3687982509815768</v>
      </c>
      <c r="N16" s="27">
        <f>N101/F28</f>
        <v>36.173748053524804</v>
      </c>
      <c r="O16" s="28">
        <f>N101/F107</f>
        <v>41.667806028571427</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41">
        <f>F19*(1+G4)</f>
        <v>3071241316.8227124</v>
      </c>
      <c r="H19" s="41">
        <f>3700000000</f>
        <v>3700000000</v>
      </c>
      <c r="I19" s="41">
        <v>4100000000</v>
      </c>
      <c r="J19" s="41">
        <v>4500000000</v>
      </c>
      <c r="K19" s="41">
        <v>4900000000</v>
      </c>
      <c r="L19" s="29">
        <f>F40-F56-F61</f>
        <v>-618000000</v>
      </c>
      <c r="M19" s="33">
        <f>N101/G3</f>
        <v>6.8885248002486019</v>
      </c>
      <c r="N19" s="34">
        <f>N101/G28</f>
        <v>31.210960812119847</v>
      </c>
      <c r="O19" s="35">
        <f>N101/G106</f>
        <v>25.896346737383176</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39">
        <f t="shared" ref="G21:K21" si="12">G19/G3</f>
        <v>0.38175777710661435</v>
      </c>
      <c r="H21" s="39">
        <f t="shared" si="12"/>
        <v>0.39716616573636754</v>
      </c>
      <c r="I21" s="39">
        <f t="shared" si="12"/>
        <v>0.4</v>
      </c>
      <c r="J21" s="39">
        <f t="shared" si="12"/>
        <v>0.4017857142857143</v>
      </c>
      <c r="K21" s="39">
        <f t="shared" si="12"/>
        <v>0.40833333333333333</v>
      </c>
      <c r="N21" s="19" t="s">
        <v>161</v>
      </c>
      <c r="O21" s="20" t="s">
        <v>162</v>
      </c>
    </row>
    <row r="22" spans="1:15" ht="19" x14ac:dyDescent="0.25">
      <c r="A22" s="6" t="s">
        <v>16</v>
      </c>
      <c r="B22" s="10">
        <v>1370000000</v>
      </c>
      <c r="C22" s="10">
        <v>1551000000</v>
      </c>
      <c r="D22" s="10">
        <v>1675000000</v>
      </c>
      <c r="E22" s="10">
        <v>1926000000</v>
      </c>
      <c r="F22" s="10">
        <v>2140000000</v>
      </c>
      <c r="N22" s="36">
        <f>(-1*F98)/N101</f>
        <v>1.5337926453883263E-3</v>
      </c>
      <c r="O22" s="37">
        <f>F107/N101</f>
        <v>2.3999343745487931E-2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8">
        <v>1775600000</v>
      </c>
      <c r="H28" s="38">
        <v>2021800000</v>
      </c>
      <c r="I28" s="38">
        <v>2200000000</v>
      </c>
      <c r="J28" s="38">
        <v>2400000000</v>
      </c>
      <c r="K28" s="38">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9">
        <f t="shared" ref="G30:K30" si="17">G28/G3</f>
        <v>0.22070851460534494</v>
      </c>
      <c r="H30" s="39">
        <f t="shared" si="17"/>
        <v>0.21702447402318592</v>
      </c>
      <c r="I30" s="39">
        <f t="shared" si="17"/>
        <v>0.21463414634146341</v>
      </c>
      <c r="J30" s="39">
        <f t="shared" si="17"/>
        <v>0.21428571428571427</v>
      </c>
      <c r="K30" s="39">
        <f t="shared" si="17"/>
        <v>0.21666666666666667</v>
      </c>
    </row>
    <row r="31" spans="1:15" ht="19" x14ac:dyDescent="0.25">
      <c r="A31" s="5" t="s">
        <v>24</v>
      </c>
      <c r="B31" s="12">
        <v>11.34</v>
      </c>
      <c r="C31" s="12">
        <v>15.61</v>
      </c>
      <c r="D31" s="12">
        <v>20.53</v>
      </c>
      <c r="E31" s="12">
        <v>26.04</v>
      </c>
      <c r="F31" s="12">
        <v>32.93</v>
      </c>
      <c r="G31" s="40">
        <v>58.56</v>
      </c>
      <c r="H31" s="40">
        <v>73</v>
      </c>
      <c r="I31" s="40">
        <v>85</v>
      </c>
      <c r="J31" s="40">
        <v>97</v>
      </c>
      <c r="K31" s="40">
        <v>115</v>
      </c>
    </row>
    <row r="32" spans="1:15"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102</v>
      </c>
      <c r="B35" s="1"/>
      <c r="C35" s="23">
        <f>(C34-B34)/B34</f>
        <v>5.3403141361256547E-2</v>
      </c>
      <c r="D35" s="23">
        <f t="shared" ref="D35:F35" si="18">(D34-C34)/C34</f>
        <v>2.3856858846918488E-2</v>
      </c>
      <c r="E35" s="23">
        <f t="shared" si="18"/>
        <v>1.6990291262135922E-2</v>
      </c>
      <c r="F35" s="23">
        <f t="shared" si="18"/>
        <v>1.1528878281622912E-2</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588600000</v>
      </c>
      <c r="C38" s="1">
        <v>316000000</v>
      </c>
      <c r="D38" s="1">
        <v>758000000</v>
      </c>
      <c r="E38" s="1">
        <v>763000000</v>
      </c>
      <c r="F38" s="1">
        <v>811000000</v>
      </c>
    </row>
    <row r="39" spans="1:6" ht="19" x14ac:dyDescent="0.25">
      <c r="A39" s="5" t="s">
        <v>31</v>
      </c>
      <c r="B39" s="1" t="s">
        <v>91</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7" t="s">
        <v>125</v>
      </c>
      <c r="N83" s="68"/>
    </row>
    <row r="84" spans="1:14" ht="19" x14ac:dyDescent="0.25">
      <c r="A84" s="5" t="s">
        <v>47</v>
      </c>
      <c r="B84" s="1" t="s">
        <v>91</v>
      </c>
      <c r="C84" s="1" t="s">
        <v>91</v>
      </c>
      <c r="D84" s="1" t="s">
        <v>91</v>
      </c>
      <c r="E84" s="1" t="s">
        <v>91</v>
      </c>
      <c r="F84" s="1" t="s">
        <v>91</v>
      </c>
      <c r="M84" s="69" t="s">
        <v>126</v>
      </c>
      <c r="N84" s="69"/>
    </row>
    <row r="85" spans="1:14" ht="20" x14ac:dyDescent="0.25">
      <c r="A85" s="5" t="s">
        <v>71</v>
      </c>
      <c r="B85" s="1">
        <v>17600000</v>
      </c>
      <c r="C85" s="1">
        <v>19000000</v>
      </c>
      <c r="D85" s="1">
        <v>34000000</v>
      </c>
      <c r="E85" s="1">
        <v>54000000</v>
      </c>
      <c r="F85" s="1">
        <v>90000000</v>
      </c>
      <c r="M85" s="45" t="s">
        <v>127</v>
      </c>
      <c r="N85" s="46">
        <f>F17</f>
        <v>78000000</v>
      </c>
    </row>
    <row r="86" spans="1:14" ht="20" x14ac:dyDescent="0.25">
      <c r="A86" s="5" t="s">
        <v>72</v>
      </c>
      <c r="B86" s="1">
        <v>-142800000</v>
      </c>
      <c r="C86" s="1">
        <v>-85000000</v>
      </c>
      <c r="D86" s="1">
        <v>-43000000</v>
      </c>
      <c r="E86" s="1">
        <v>241000000</v>
      </c>
      <c r="F86" s="1">
        <v>283000000</v>
      </c>
      <c r="M86" s="45" t="s">
        <v>128</v>
      </c>
      <c r="N86" s="46">
        <f>F56</f>
        <v>423000000</v>
      </c>
    </row>
    <row r="87" spans="1:14" ht="20" x14ac:dyDescent="0.25">
      <c r="A87" s="6" t="s">
        <v>73</v>
      </c>
      <c r="B87" s="10">
        <v>662000000</v>
      </c>
      <c r="C87" s="10">
        <v>767000000</v>
      </c>
      <c r="D87" s="10">
        <v>1186000000</v>
      </c>
      <c r="E87" s="10">
        <v>1300000000</v>
      </c>
      <c r="F87" s="10">
        <v>1297000000</v>
      </c>
      <c r="M87" s="45" t="s">
        <v>129</v>
      </c>
      <c r="N87" s="46">
        <f>F61</f>
        <v>1121000000</v>
      </c>
    </row>
    <row r="88" spans="1:14" ht="20" x14ac:dyDescent="0.25">
      <c r="A88" s="5" t="s">
        <v>74</v>
      </c>
      <c r="B88" s="1">
        <v>-25300000</v>
      </c>
      <c r="C88" s="1">
        <v>-34000000</v>
      </c>
      <c r="D88" s="1">
        <v>-25000000</v>
      </c>
      <c r="E88" s="1">
        <v>-29000000</v>
      </c>
      <c r="F88" s="1">
        <v>-41000000</v>
      </c>
      <c r="M88" s="47" t="s">
        <v>130</v>
      </c>
      <c r="N88" s="48">
        <f>N85/(N86+N87)</f>
        <v>5.0518134715025906E-2</v>
      </c>
    </row>
    <row r="89" spans="1:14"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M89" s="45" t="s">
        <v>105</v>
      </c>
      <c r="N89" s="46">
        <f>F27</f>
        <v>622000000</v>
      </c>
    </row>
    <row r="90" spans="1:14" ht="20" x14ac:dyDescent="0.25">
      <c r="A90" s="5" t="s">
        <v>75</v>
      </c>
      <c r="B90" s="1">
        <v>-484700000</v>
      </c>
      <c r="C90" s="1">
        <v>-505000000</v>
      </c>
      <c r="D90" s="1">
        <v>-485000000</v>
      </c>
      <c r="E90" s="1">
        <v>-1183000000</v>
      </c>
      <c r="F90" s="1">
        <v>-1663000000</v>
      </c>
      <c r="M90" s="45" t="s">
        <v>19</v>
      </c>
      <c r="N90" s="46">
        <f>F25</f>
        <v>2154000000</v>
      </c>
    </row>
    <row r="91" spans="1:14" ht="20" x14ac:dyDescent="0.25">
      <c r="A91" s="5" t="s">
        <v>76</v>
      </c>
      <c r="B91" s="1">
        <v>-3100000</v>
      </c>
      <c r="C91" s="1">
        <v>-11000000</v>
      </c>
      <c r="D91" s="1">
        <v>-4000000</v>
      </c>
      <c r="E91" s="1">
        <v>-44000000</v>
      </c>
      <c r="F91" s="1">
        <v>-97000000</v>
      </c>
      <c r="M91" s="47" t="s">
        <v>131</v>
      </c>
      <c r="N91" s="48">
        <f>N89/N90</f>
        <v>0.28876508820798513</v>
      </c>
    </row>
    <row r="92" spans="1:14" ht="20" x14ac:dyDescent="0.25">
      <c r="A92" s="5" t="s">
        <v>77</v>
      </c>
      <c r="B92" s="1" t="s">
        <v>91</v>
      </c>
      <c r="C92" s="1" t="s">
        <v>91</v>
      </c>
      <c r="D92" s="1" t="s">
        <v>91</v>
      </c>
      <c r="E92" s="1">
        <v>13000000</v>
      </c>
      <c r="F92" s="1">
        <v>6000000</v>
      </c>
      <c r="M92" s="47" t="s">
        <v>132</v>
      </c>
      <c r="N92" s="48">
        <f>N88*(1-N91)</f>
        <v>3.5930261087938578E-2</v>
      </c>
    </row>
    <row r="93" spans="1:14" ht="19" x14ac:dyDescent="0.25">
      <c r="A93" s="5" t="s">
        <v>78</v>
      </c>
      <c r="B93" s="1">
        <v>5100000</v>
      </c>
      <c r="C93" s="1">
        <v>6000000</v>
      </c>
      <c r="D93" s="1">
        <v>2000000</v>
      </c>
      <c r="E93" s="1">
        <v>5000000</v>
      </c>
      <c r="F93" s="1">
        <v>5000000</v>
      </c>
      <c r="M93" s="69" t="s">
        <v>133</v>
      </c>
      <c r="N93" s="69"/>
    </row>
    <row r="94" spans="1:14" ht="20" x14ac:dyDescent="0.25">
      <c r="A94" s="6" t="s">
        <v>79</v>
      </c>
      <c r="B94" s="10">
        <v>-508000000</v>
      </c>
      <c r="C94" s="10">
        <v>-544000000</v>
      </c>
      <c r="D94" s="10">
        <v>-512000000</v>
      </c>
      <c r="E94" s="10">
        <v>-1238000000</v>
      </c>
      <c r="F94" s="10">
        <v>-1694000000</v>
      </c>
      <c r="M94" s="45" t="s">
        <v>134</v>
      </c>
      <c r="N94" s="49">
        <f>[1]Treasuries!$C$8</f>
        <v>4.0480000000000002E-2</v>
      </c>
    </row>
    <row r="95" spans="1:14" ht="20" x14ac:dyDescent="0.25">
      <c r="A95" s="5" t="s">
        <v>80</v>
      </c>
      <c r="B95" s="1">
        <v>-500000</v>
      </c>
      <c r="C95" s="1">
        <v>-53000000</v>
      </c>
      <c r="D95" s="1">
        <v>-103000000</v>
      </c>
      <c r="E95" s="1">
        <v>-89000000</v>
      </c>
      <c r="F95" s="1">
        <v>-89000000</v>
      </c>
      <c r="M95" s="45" t="s">
        <v>135</v>
      </c>
      <c r="N95" s="50" cm="1">
        <f t="array" ref="N95">_FV(A1,"Beta")</f>
        <v>0.84899999999999998</v>
      </c>
    </row>
    <row r="96" spans="1:14" ht="20" x14ac:dyDescent="0.25">
      <c r="A96" s="5" t="s">
        <v>81</v>
      </c>
      <c r="B96" s="1" t="s">
        <v>91</v>
      </c>
      <c r="C96" s="1" t="s">
        <v>91</v>
      </c>
      <c r="D96" s="1" t="s">
        <v>91</v>
      </c>
      <c r="E96" s="1" t="s">
        <v>91</v>
      </c>
      <c r="F96" s="1" t="s">
        <v>91</v>
      </c>
      <c r="M96" s="45" t="s">
        <v>136</v>
      </c>
      <c r="N96" s="49">
        <v>8.4000000000000005E-2</v>
      </c>
    </row>
    <row r="97" spans="1:14" ht="20" x14ac:dyDescent="0.25">
      <c r="A97" s="5" t="s">
        <v>82</v>
      </c>
      <c r="B97" s="1" t="s">
        <v>91</v>
      </c>
      <c r="C97" s="1" t="s">
        <v>91</v>
      </c>
      <c r="D97" s="1" t="s">
        <v>91</v>
      </c>
      <c r="E97" s="1" t="s">
        <v>91</v>
      </c>
      <c r="F97" s="1" t="s">
        <v>91</v>
      </c>
      <c r="M97" s="47" t="s">
        <v>137</v>
      </c>
      <c r="N97" s="48">
        <f>(N94)+((N95)*(N96-N94))</f>
        <v>7.7428479999999994E-2</v>
      </c>
    </row>
    <row r="98" spans="1:14" ht="19" x14ac:dyDescent="0.25">
      <c r="A98" s="5" t="s">
        <v>83</v>
      </c>
      <c r="B98" s="1">
        <v>-84800000</v>
      </c>
      <c r="C98" s="1">
        <v>-509000000</v>
      </c>
      <c r="D98" s="1">
        <v>-85000000</v>
      </c>
      <c r="E98" s="1">
        <v>-107000000</v>
      </c>
      <c r="F98" s="1">
        <v>-85000000</v>
      </c>
      <c r="M98" s="69" t="s">
        <v>138</v>
      </c>
      <c r="N98" s="69"/>
    </row>
    <row r="99" spans="1:14" ht="20" x14ac:dyDescent="0.25">
      <c r="A99" s="5" t="s">
        <v>84</v>
      </c>
      <c r="B99" s="1">
        <v>36700000</v>
      </c>
      <c r="C99" s="1">
        <v>66000000</v>
      </c>
      <c r="D99" s="1">
        <v>-59000000</v>
      </c>
      <c r="E99" s="1">
        <v>155000000</v>
      </c>
      <c r="F99" s="1">
        <v>222000000</v>
      </c>
      <c r="M99" s="45" t="s">
        <v>139</v>
      </c>
      <c r="N99" s="46">
        <f>N86+N87</f>
        <v>1544000000</v>
      </c>
    </row>
    <row r="100" spans="1:14" ht="20" x14ac:dyDescent="0.25">
      <c r="A100" s="6" t="s">
        <v>85</v>
      </c>
      <c r="B100" s="10">
        <v>-48600000</v>
      </c>
      <c r="C100" s="10">
        <v>-496000000</v>
      </c>
      <c r="D100" s="10">
        <v>-247000000</v>
      </c>
      <c r="E100" s="10">
        <v>-41000000</v>
      </c>
      <c r="F100" s="10">
        <v>-90000000</v>
      </c>
      <c r="M100" s="47" t="s">
        <v>140</v>
      </c>
      <c r="N100" s="48">
        <f>N99/N103</f>
        <v>2.7105703210458076E-2</v>
      </c>
    </row>
    <row r="101" spans="1:14" ht="20" x14ac:dyDescent="0.25">
      <c r="A101" s="5" t="s">
        <v>86</v>
      </c>
      <c r="B101" s="1">
        <v>-5800000</v>
      </c>
      <c r="C101" s="1">
        <v>1000000</v>
      </c>
      <c r="D101" s="1">
        <v>15000000</v>
      </c>
      <c r="E101" s="1">
        <v>-16000000</v>
      </c>
      <c r="F101" s="1">
        <v>-79000000</v>
      </c>
      <c r="M101" s="45" t="s">
        <v>141</v>
      </c>
      <c r="N101" s="51" cm="1">
        <f t="array" ref="N101">_FV(A1,"Market cap",TRUE)</f>
        <v>55418182018</v>
      </c>
    </row>
    <row r="102" spans="1:14" ht="20" x14ac:dyDescent="0.25">
      <c r="A102" s="6" t="s">
        <v>87</v>
      </c>
      <c r="B102" s="10">
        <v>99600000</v>
      </c>
      <c r="C102" s="10">
        <v>-273000000</v>
      </c>
      <c r="D102" s="10">
        <v>442000000</v>
      </c>
      <c r="E102" s="10">
        <v>5000000</v>
      </c>
      <c r="F102" s="10">
        <v>48000000</v>
      </c>
      <c r="M102" s="47" t="s">
        <v>142</v>
      </c>
      <c r="N102" s="48">
        <f>N101/N103</f>
        <v>0.97289429678954187</v>
      </c>
    </row>
    <row r="103" spans="1:14" ht="20" x14ac:dyDescent="0.25">
      <c r="A103" s="5" t="s">
        <v>88</v>
      </c>
      <c r="B103" s="1">
        <v>489000000</v>
      </c>
      <c r="C103" s="1">
        <v>589000000</v>
      </c>
      <c r="D103" s="1">
        <v>316000000</v>
      </c>
      <c r="E103" s="1">
        <v>758000000</v>
      </c>
      <c r="F103" s="1">
        <v>763000000</v>
      </c>
      <c r="M103" s="47" t="s">
        <v>143</v>
      </c>
      <c r="N103" s="52">
        <f>N99+N101</f>
        <v>56962182018</v>
      </c>
    </row>
    <row r="104" spans="1:14" ht="20" thickBot="1" x14ac:dyDescent="0.3">
      <c r="A104" s="7" t="s">
        <v>89</v>
      </c>
      <c r="B104" s="11">
        <v>588600000</v>
      </c>
      <c r="C104" s="11">
        <v>316000000</v>
      </c>
      <c r="D104" s="11">
        <v>758000000</v>
      </c>
      <c r="E104" s="11">
        <v>763000000</v>
      </c>
      <c r="F104" s="11">
        <v>811000000</v>
      </c>
      <c r="M104" s="69" t="s">
        <v>144</v>
      </c>
      <c r="N104" s="69"/>
    </row>
    <row r="105" spans="1:14" ht="21" thickTop="1" x14ac:dyDescent="0.25">
      <c r="A105" s="14" t="s">
        <v>165</v>
      </c>
      <c r="B105" s="1">
        <f t="shared" ref="B105:E105" si="19">(B22*(1-$N$91))+B77+B88+B81</f>
        <v>1268491829.1550603</v>
      </c>
      <c r="C105" s="1">
        <f t="shared" si="19"/>
        <v>1465125348.1894152</v>
      </c>
      <c r="D105" s="1">
        <f t="shared" si="19"/>
        <v>1792318477.2516251</v>
      </c>
      <c r="E105" s="1">
        <f t="shared" si="19"/>
        <v>2024838440.1114206</v>
      </c>
      <c r="F105" s="1">
        <f>(F22*(1-$N$91))+F77+F88+F81</f>
        <v>2240042711.2349119</v>
      </c>
      <c r="G105" s="30">
        <f>F105*(1+$N$106)</f>
        <v>2525534007.865303</v>
      </c>
      <c r="H105" s="30">
        <f t="shared" ref="H105:K105" si="20">G105*(1+$N$106)</f>
        <v>2847410896.6287875</v>
      </c>
      <c r="I105" s="30">
        <f t="shared" si="20"/>
        <v>3210310686.3698092</v>
      </c>
      <c r="J105" s="30">
        <f t="shared" si="20"/>
        <v>3619461706.5005159</v>
      </c>
      <c r="K105" s="30">
        <f t="shared" si="20"/>
        <v>4080758632.0056639</v>
      </c>
      <c r="L105" s="31" t="s">
        <v>163</v>
      </c>
      <c r="M105" s="53" t="s">
        <v>107</v>
      </c>
      <c r="N105" s="54">
        <f>(N100*N92)+(N102*N97)</f>
        <v>7.6303641594407029E-2</v>
      </c>
    </row>
    <row r="106" spans="1:14" ht="19" x14ac:dyDescent="0.25">
      <c r="A106" s="14" t="s">
        <v>106</v>
      </c>
      <c r="B106" s="1"/>
      <c r="C106" s="15">
        <f>(C107/B107)-1</f>
        <v>0.15124862572640185</v>
      </c>
      <c r="D106" s="15">
        <f>(D107/C107)-1</f>
        <v>0.58390177353342421</v>
      </c>
      <c r="E106" s="15">
        <f>(E107/D107)-1</f>
        <v>9.4745908699397141E-2</v>
      </c>
      <c r="F106" s="15">
        <f>(F107/E107)-1</f>
        <v>4.6420141620771016E-2</v>
      </c>
      <c r="G106" s="42">
        <v>2140000000</v>
      </c>
      <c r="H106" s="42">
        <v>2387000000</v>
      </c>
      <c r="I106" s="42">
        <f>+H106*(1+I4)</f>
        <v>2626314942.0352082</v>
      </c>
      <c r="J106" s="42">
        <f t="shared" ref="J106:K106" si="21">+I106*(1+J4)</f>
        <v>2869729497.6384716</v>
      </c>
      <c r="K106" s="42">
        <f t="shared" si="21"/>
        <v>3074710176.0412197</v>
      </c>
      <c r="L106" s="31" t="s">
        <v>164</v>
      </c>
      <c r="M106" s="55" t="s">
        <v>145</v>
      </c>
      <c r="N106" s="56">
        <f>(SUM(G4:K4)/5)</f>
        <v>0.12744904157340961</v>
      </c>
    </row>
    <row r="107" spans="1:14" ht="19" x14ac:dyDescent="0.25">
      <c r="A107" s="44" t="s">
        <v>166</v>
      </c>
      <c r="B107" s="1">
        <v>636700000</v>
      </c>
      <c r="C107" s="1">
        <v>733000000</v>
      </c>
      <c r="D107" s="1">
        <v>1161000000</v>
      </c>
      <c r="E107" s="1">
        <v>1271000000</v>
      </c>
      <c r="F107" s="1">
        <v>1330000000</v>
      </c>
      <c r="G107" s="31"/>
      <c r="H107" s="31"/>
      <c r="I107" s="31"/>
      <c r="J107" s="31"/>
      <c r="K107" s="43">
        <f>K106*(1+N107)/(N108-N107)</f>
        <v>61429906971.473648</v>
      </c>
      <c r="L107" s="32" t="s">
        <v>146</v>
      </c>
      <c r="M107" s="57" t="s">
        <v>147</v>
      </c>
      <c r="N107" s="58">
        <v>2.5000000000000001E-2</v>
      </c>
    </row>
    <row r="108" spans="1:14" ht="19" x14ac:dyDescent="0.25">
      <c r="G108" s="43">
        <f t="shared" ref="G108:J108" si="22">G107+G106</f>
        <v>2140000000</v>
      </c>
      <c r="H108" s="43">
        <f t="shared" si="22"/>
        <v>2387000000</v>
      </c>
      <c r="I108" s="43">
        <f t="shared" si="22"/>
        <v>2626314942.0352082</v>
      </c>
      <c r="J108" s="43">
        <f t="shared" si="22"/>
        <v>2869729497.6384716</v>
      </c>
      <c r="K108" s="43">
        <f>K107+K106</f>
        <v>64504617147.51487</v>
      </c>
      <c r="L108" s="32" t="s">
        <v>143</v>
      </c>
      <c r="M108" s="59" t="s">
        <v>148</v>
      </c>
      <c r="N108" s="56">
        <f>N105</f>
        <v>7.6303641594407029E-2</v>
      </c>
    </row>
    <row r="109" spans="1:14" ht="19" x14ac:dyDescent="0.25">
      <c r="G109" s="66" t="s">
        <v>149</v>
      </c>
      <c r="H109" s="66"/>
    </row>
    <row r="110" spans="1:14" ht="20" x14ac:dyDescent="0.25">
      <c r="G110" s="60" t="s">
        <v>150</v>
      </c>
      <c r="H110" s="51">
        <f>NPV(N108,G108,H108,I108,J108,K108)</f>
        <v>52953503044.865524</v>
      </c>
    </row>
    <row r="111" spans="1:14" ht="20" x14ac:dyDescent="0.25">
      <c r="G111" s="60" t="s">
        <v>151</v>
      </c>
      <c r="H111" s="51">
        <f>F40</f>
        <v>926000000</v>
      </c>
    </row>
    <row r="112" spans="1:14" ht="20" x14ac:dyDescent="0.25">
      <c r="G112" s="60" t="s">
        <v>139</v>
      </c>
      <c r="H112" s="51">
        <f>N99</f>
        <v>1544000000</v>
      </c>
    </row>
    <row r="113" spans="7:8" ht="20" x14ac:dyDescent="0.25">
      <c r="G113" s="60" t="s">
        <v>152</v>
      </c>
      <c r="H113" s="51">
        <f>H110+H111-H112</f>
        <v>52335503044.865524</v>
      </c>
    </row>
    <row r="114" spans="7:8" ht="20" x14ac:dyDescent="0.25">
      <c r="G114" s="60" t="s">
        <v>157</v>
      </c>
      <c r="H114" s="60">
        <f>F34*(1+(5*L16))</f>
        <v>23433152.449173201</v>
      </c>
    </row>
    <row r="115" spans="7:8" ht="20" x14ac:dyDescent="0.25">
      <c r="G115" s="61" t="s">
        <v>153</v>
      </c>
      <c r="H115" s="62">
        <f>H113/H114</f>
        <v>2233.3957481129301</v>
      </c>
    </row>
    <row r="116" spans="7:8" ht="20" x14ac:dyDescent="0.25">
      <c r="G116" s="60" t="s">
        <v>154</v>
      </c>
      <c r="H116" s="63" cm="1">
        <f t="array" ref="H116">_FV(A1,"Price")</f>
        <v>2615.11</v>
      </c>
    </row>
    <row r="117" spans="7:8" ht="20" x14ac:dyDescent="0.25">
      <c r="G117" s="61" t="s">
        <v>155</v>
      </c>
      <c r="H117" s="64">
        <f>H115/H116-1</f>
        <v>-0.14596489321178463</v>
      </c>
    </row>
    <row r="118" spans="7:8" ht="20" x14ac:dyDescent="0.25">
      <c r="G118" s="61" t="s">
        <v>156</v>
      </c>
      <c r="H118" s="65"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6"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2023-03-13T23:50:29Z</dcterms:created>
  <dcterms:modified xsi:type="dcterms:W3CDTF">2023-07-11T08:59:45Z</dcterms:modified>
</cp:coreProperties>
</file>