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C7727BD-76DF-1D41-8C1F-88BF1815B6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5" i="1" l="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86" i="1"/>
  <c r="AD87" i="1"/>
  <c r="AD99" i="1"/>
  <c r="AD85" i="1"/>
  <c r="AD88" i="1"/>
  <c r="AD89" i="1"/>
  <c r="AD90" i="1"/>
  <c r="AD91" i="1"/>
  <c r="AD92" i="1"/>
  <c r="X111" i="1"/>
  <c r="X112" i="1"/>
  <c r="AB16" i="1"/>
  <c r="X114" i="1"/>
  <c r="W4" i="1"/>
  <c r="X4" i="1"/>
  <c r="Y4" i="1"/>
  <c r="Z4" i="1"/>
  <c r="AA4" i="1"/>
  <c r="AD106" i="1"/>
  <c r="W105" i="1" s="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W108" i="1" l="1"/>
  <c r="X105" i="1"/>
  <c r="AE22" i="1"/>
  <c r="AD22" i="1"/>
  <c r="AE19" i="1"/>
  <c r="AC19" i="1"/>
  <c r="AD19" i="1"/>
  <c r="AE16" i="1"/>
  <c r="AD16" i="1"/>
  <c r="AC16" i="1"/>
  <c r="AD103" i="1"/>
  <c r="AD100" i="1" s="1"/>
  <c r="Y105" i="1" l="1"/>
  <c r="X108" i="1"/>
  <c r="AD102" i="1"/>
  <c r="Z105" i="1" l="1"/>
  <c r="Y108" i="1"/>
  <c r="AD94" i="1"/>
  <c r="AD97" i="1" s="1"/>
  <c r="AD105" i="1" s="1"/>
  <c r="AD108" i="1" s="1"/>
  <c r="AA105" i="1" l="1"/>
  <c r="AA107" i="1" s="1"/>
  <c r="AA108" i="1" s="1"/>
  <c r="Z108" i="1"/>
  <c r="X110" i="1" l="1"/>
  <c r="X113" i="1" s="1"/>
  <c r="X115" i="1" s="1"/>
  <c r="X117" i="1"/>
  <c r="X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<sst xmlns="http://schemas.openxmlformats.org/spreadsheetml/2006/main" count="673" uniqueCount="167">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</sst>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615.54</v>
    <v>1.5249999999999999</v>
    <v>-66.67</v>
    <v>-5.7782E-2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1109.489</v>
    <v>Software &amp; IT Services</v>
    <v>Stock</v>
    <v>45117.999640370312</v>
    <v>0</v>
    <v>1063.02</v>
    <v>54583203211</v>
    <v>MERCADOLIBRE, INC.</v>
    <v>MERCADOLIBRE, INC.</v>
    <v>1108.04</v>
    <v>88.865600000000001</v>
    <v>1153.82</v>
    <v>1087.1500000000001</v>
    <v>50207610</v>
    <v>MELI</v>
    <v>MERCADOLIBRE, INC. (XNAS:MELI)</v>
    <v>20</v>
    <v>484304</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83" activePane="bottomRight" state="frozen"/>
      <selection pane="topRight"/>
      <selection pane="bottomLeft"/>
      <selection pane="bottomRight" activeCell="Z95" sqref="Z95"/>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13559000000</v>
      </c>
      <c r="X3" s="24">
        <v>16300000000</v>
      </c>
      <c r="Y3" s="24">
        <v>19739000000</v>
      </c>
      <c r="Z3" s="24">
        <v>25948000000</v>
      </c>
      <c r="AA3" s="24">
        <v>34897000000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0.28679889911739576</v>
      </c>
      <c r="X4" s="16">
        <f t="shared" si="0"/>
        <v>0.20215355114683975</v>
      </c>
      <c r="Y4" s="16">
        <f t="shared" si="0"/>
        <v>0.21098159509202463</v>
      </c>
      <c r="Z4" s="16">
        <f t="shared" si="0"/>
        <v>0.31455494199300871</v>
      </c>
      <c r="AA4" s="16">
        <f t="shared" si="0"/>
        <v>0.34488207183597974</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6">
        <f>AD101/V3</f>
        <v>5.1801464563917623</v>
      </c>
      <c r="AD16" s="36">
        <f>AD101/V28</f>
        <v>113.24316018879668</v>
      </c>
      <c r="AE16" s="37">
        <f>AD101/V107</f>
        <v>21.956236207160096</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31">
        <v>2057000000</v>
      </c>
      <c r="X19" s="31">
        <v>2590000000</v>
      </c>
      <c r="Y19" s="31">
        <v>3469000000</v>
      </c>
      <c r="Z19" s="31">
        <v>4574000000</v>
      </c>
      <c r="AA19" s="31">
        <v>5847000000</v>
      </c>
      <c r="AB19" s="26">
        <f>V40-V56-V61</f>
        <v>3593000000</v>
      </c>
      <c r="AC19" s="36">
        <f>AD101/W3</f>
        <v>4.0256068449738178</v>
      </c>
      <c r="AD19" s="36">
        <f>AD101/W28</f>
        <v>63.175003716435185</v>
      </c>
      <c r="AE19" s="37">
        <f>AD101/W106</f>
        <v>180.02375729221635</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0.36768617021276606</v>
      </c>
      <c r="X20" s="16">
        <f t="shared" ref="X20" si="5">(X19/W19)-1</f>
        <v>0.25911521633446766</v>
      </c>
      <c r="Y20" s="16">
        <f t="shared" ref="Y20" si="6">(Y19/X19)-1</f>
        <v>0.33938223938223944</v>
      </c>
      <c r="Z20" s="16">
        <f t="shared" ref="Z20" si="7">(Z19/Y19)-1</f>
        <v>0.31853560103776313</v>
      </c>
      <c r="AA20" s="16">
        <f t="shared" ref="AA20" si="8">(AA19/Z19)-1</f>
        <v>0.27831219938784435</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5">
        <f t="shared" ref="W21:AA21" si="9">W19/W3</f>
        <v>0.15170735304963492</v>
      </c>
      <c r="X21" s="35">
        <f t="shared" si="9"/>
        <v>0.15889570552147239</v>
      </c>
      <c r="Y21" s="35">
        <f t="shared" si="9"/>
        <v>0.1757434520492426</v>
      </c>
      <c r="Z21" s="35">
        <f t="shared" si="9"/>
        <v>0.17627562817943579</v>
      </c>
      <c r="AA21" s="35">
        <f t="shared" si="9"/>
        <v>0.16755021921655155</v>
      </c>
      <c r="AD21" s="18" t="s">
        <v>165</v>
      </c>
      <c r="AE21" s="19" t="s">
        <v>166</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D22" s="40">
        <f>(-1*V98)/AD101</f>
        <v>0</v>
      </c>
      <c r="AE22" s="41">
        <f>V107/AD101</f>
        <v>4.554514674395297E-2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33">
        <v>864000000</v>
      </c>
      <c r="X28" s="33">
        <v>1190000000</v>
      </c>
      <c r="Y28" s="33">
        <v>1669000000</v>
      </c>
      <c r="Z28" s="33">
        <v>2179000000</v>
      </c>
      <c r="AA28" s="33">
        <v>3242000000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0.79253112033195028</v>
      </c>
      <c r="X29" s="16">
        <f t="shared" ref="X29" si="12">(X28/W28)-1</f>
        <v>0.37731481481481488</v>
      </c>
      <c r="Y29" s="16">
        <f t="shared" ref="Y29" si="13">(Y28/X28)-1</f>
        <v>0.40252100840336125</v>
      </c>
      <c r="Z29" s="16">
        <f t="shared" ref="Z29" si="14">(Z28/Y28)-1</f>
        <v>0.30557219892150989</v>
      </c>
      <c r="AA29" s="16">
        <f t="shared" ref="AA29" si="15">(AA28/Z28)-1</f>
        <v>0.48783845800826064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32">
        <f t="shared" ref="W30:AA30" si="16">W28/W3</f>
        <v>6.372151338594291E-2</v>
      </c>
      <c r="X30" s="32">
        <f t="shared" si="16"/>
        <v>7.3006134969325148E-2</v>
      </c>
      <c r="Y30" s="32">
        <f t="shared" si="16"/>
        <v>8.4553422159177258E-2</v>
      </c>
      <c r="Z30" s="32">
        <f t="shared" si="16"/>
        <v>8.3975643594882077E-2</v>
      </c>
      <c r="AA30" s="32">
        <f t="shared" si="16"/>
        <v>9.2901968650600339E-2</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4">
        <v>17.21</v>
      </c>
      <c r="X31" s="34">
        <v>23.7</v>
      </c>
      <c r="Y31" s="34">
        <v>33.25</v>
      </c>
      <c r="Z31" s="34">
        <v>43.39</v>
      </c>
      <c r="AA31" s="34">
        <v>64.56</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63" t="s">
        <v>125</v>
      </c>
      <c r="AD83" s="64"/>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65" t="s">
        <v>126</v>
      </c>
      <c r="AD84" s="65"/>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42" t="s">
        <v>127</v>
      </c>
      <c r="AD85" s="43">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42" t="s">
        <v>128</v>
      </c>
      <c r="AD86" s="43">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42" t="s">
        <v>129</v>
      </c>
      <c r="AD87" s="43">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44" t="s">
        <v>130</v>
      </c>
      <c r="AD88" s="45">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42" t="s">
        <v>105</v>
      </c>
      <c r="AD89" s="43">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42" t="s">
        <v>19</v>
      </c>
      <c r="AD90" s="43">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44" t="s">
        <v>131</v>
      </c>
      <c r="AD91" s="45">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44" t="s">
        <v>132</v>
      </c>
      <c r="AD92" s="45">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5" t="s">
        <v>133</v>
      </c>
      <c r="AD93" s="65"/>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42" t="s">
        <v>134</v>
      </c>
      <c r="AD94" s="46">
        <f>[1]Treasuries!$C$8</f>
        <v>4.0480000000000002E-2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42" t="s">
        <v>135</v>
      </c>
      <c r="AD95" s="47" cm="1">
        <f t="array" ref="AD95">_FV(A1,"Beta")</f>
        <v>1.5249999999999999</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42" t="s">
        <v>136</v>
      </c>
      <c r="AD96" s="46">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44" t="s">
        <v>137</v>
      </c>
      <c r="AD97" s="45">
        <f>(AD94)+((AD95)*(AD96-AD94))</f>
        <v>0.106848</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AC98" s="65" t="s">
        <v>138</v>
      </c>
      <c r="AD98" s="65"/>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42" t="s">
        <v>139</v>
      </c>
      <c r="AD99" s="43">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44" t="s">
        <v>140</v>
      </c>
      <c r="AD100" s="45">
        <f>AD99/AD103</f>
        <v>1.1875623866156131E-2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42" t="s">
        <v>141</v>
      </c>
      <c r="AD101" s="29" cm="1">
        <f t="array" ref="AD101">_FV(A1,"Market cap",TRUE)</f>
        <v>54583203211</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44" t="s">
        <v>142</v>
      </c>
      <c r="AD102" s="45">
        <f>AD101/AD103</f>
        <v>0.98812437613384385</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44" t="s">
        <v>143</v>
      </c>
      <c r="AD103" s="48">
        <f>AD99+AD101</f>
        <v>55239203211</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5" t="s">
        <v>144</v>
      </c>
      <c r="AD104" s="65"/>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27">
        <f>V105*(1+$AD$106)</f>
        <v>3483611286.7668343</v>
      </c>
      <c r="X105" s="27">
        <f t="shared" ref="X105:AA105" si="22">W105*(1+$AD$106)</f>
        <v>4430715359.7032175</v>
      </c>
      <c r="Y105" s="27">
        <f t="shared" si="22"/>
        <v>5635312605.9968395</v>
      </c>
      <c r="Z105" s="27">
        <f t="shared" si="22"/>
        <v>7167408779.2076206</v>
      </c>
      <c r="AA105" s="27">
        <f t="shared" si="22"/>
        <v>9116042391.9686432</v>
      </c>
      <c r="AB105" s="28" t="s">
        <v>163</v>
      </c>
      <c r="AC105" s="49" t="s">
        <v>107</v>
      </c>
      <c r="AD105" s="50">
        <f>(AD100*AD92)+(AD102*AD97)</f>
        <v>0.10917006916474847</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39">
        <v>303200000</v>
      </c>
      <c r="X106" s="39">
        <v>537500000</v>
      </c>
      <c r="Y106" s="39">
        <v>857300000</v>
      </c>
      <c r="Z106" s="39">
        <v>1101000000</v>
      </c>
      <c r="AA106" s="39">
        <v>1329000000</v>
      </c>
      <c r="AB106" s="28" t="s">
        <v>164</v>
      </c>
      <c r="AC106" s="51" t="s">
        <v>145</v>
      </c>
      <c r="AD106" s="52">
        <f>(SUM(W4:AA4)/5)</f>
        <v>0.27187421183704974</v>
      </c>
    </row>
    <row r="107" spans="1:30" ht="19" x14ac:dyDescent="0.25">
      <c r="A107" s="38"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28"/>
      <c r="X107" s="28"/>
      <c r="Y107" s="28"/>
      <c r="Z107" s="28"/>
      <c r="AA107" s="29">
        <f>AA105*(1+AD107)/(AD108-AD107)</f>
        <v>111012662155.2216</v>
      </c>
      <c r="AB107" s="30" t="s">
        <v>146</v>
      </c>
      <c r="AC107" s="53" t="s">
        <v>147</v>
      </c>
      <c r="AD107" s="54">
        <v>2.5000000000000001E-2</v>
      </c>
    </row>
    <row r="108" spans="1:30" ht="19" x14ac:dyDescent="0.25">
      <c r="W108" s="29">
        <f t="shared" ref="W108:Z108" si="24">W107+W105</f>
        <v>3483611286.7668343</v>
      </c>
      <c r="X108" s="29">
        <f t="shared" si="24"/>
        <v>4430715359.7032175</v>
      </c>
      <c r="Y108" s="29">
        <f t="shared" si="24"/>
        <v>5635312605.9968395</v>
      </c>
      <c r="Z108" s="29">
        <f t="shared" si="24"/>
        <v>7167408779.2076206</v>
      </c>
      <c r="AA108" s="29">
        <f>AA107+AA105</f>
        <v>120128704547.19025</v>
      </c>
      <c r="AB108" s="30" t="s">
        <v>143</v>
      </c>
      <c r="AC108" s="55" t="s">
        <v>148</v>
      </c>
      <c r="AD108" s="52">
        <f>AD105</f>
        <v>0.10917006916474847</v>
      </c>
    </row>
    <row r="109" spans="1:30" ht="19" x14ac:dyDescent="0.25">
      <c r="W109" s="62" t="s">
        <v>149</v>
      </c>
      <c r="X109" s="62"/>
    </row>
    <row r="110" spans="1:30" ht="20" x14ac:dyDescent="0.25">
      <c r="W110" s="56" t="s">
        <v>150</v>
      </c>
      <c r="X110" s="29">
        <f>NPV(AD108,W108,X108,Y108,Z108,AA108)</f>
        <v>87165130310.220886</v>
      </c>
    </row>
    <row r="111" spans="1:30" ht="20" x14ac:dyDescent="0.25">
      <c r="W111" s="56" t="s">
        <v>151</v>
      </c>
      <c r="X111" s="29">
        <f>V40</f>
        <v>4249000000</v>
      </c>
    </row>
    <row r="112" spans="1:30" ht="20" x14ac:dyDescent="0.25">
      <c r="W112" s="56" t="s">
        <v>139</v>
      </c>
      <c r="X112" s="29">
        <f>AD99</f>
        <v>656000000</v>
      </c>
    </row>
    <row r="113" spans="23:24" ht="20" x14ac:dyDescent="0.25">
      <c r="W113" s="56" t="s">
        <v>152</v>
      </c>
      <c r="X113" s="29">
        <f>X110+X111-X112</f>
        <v>90758130310.220886</v>
      </c>
    </row>
    <row r="114" spans="23:24" ht="20" x14ac:dyDescent="0.25">
      <c r="W114" s="56" t="s">
        <v>153</v>
      </c>
      <c r="X114" s="56">
        <f>V34*(1+(5*AB16))</f>
        <v>55576462.481717423</v>
      </c>
    </row>
    <row r="115" spans="23:24" ht="20" x14ac:dyDescent="0.25">
      <c r="W115" s="57" t="s">
        <v>154</v>
      </c>
      <c r="X115" s="58">
        <f>X113/X114</f>
        <v>1633.0317954309689</v>
      </c>
    </row>
    <row r="116" spans="23:24" ht="20" x14ac:dyDescent="0.25">
      <c r="W116" s="56" t="s">
        <v>155</v>
      </c>
      <c r="X116" s="59" cm="1">
        <f t="array" ref="X116">_FV(A1,"Price")</f>
        <v>1087.1500000000001</v>
      </c>
    </row>
    <row r="117" spans="23:24" ht="20" x14ac:dyDescent="0.25">
      <c r="W117" s="57" t="s">
        <v>156</v>
      </c>
      <c r="X117" s="60">
        <f>X115/X116-1</f>
        <v>0.50212187410290099</v>
      </c>
    </row>
    <row r="118" spans="23:24" ht="20" x14ac:dyDescent="0.25">
      <c r="W118" s="57" t="s">
        <v>157</v>
      </c>
      <c r="X118" s="61"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2023-03-13T10:27:55Z</dcterms:created>
  <dcterms:modified xsi:type="dcterms:W3CDTF">2023-07-11T08:35:19Z</dcterms:modified>
</cp:coreProperties>
</file>