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7E845AE0-604A-B64E-9E8A-3F7F934721F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O11" i="2"/>
  <c r="O10" i="2"/>
  <c r="O9" i="2"/>
  <c r="O7" i="2"/>
  <c r="O6" i="2"/>
  <c r="O5" i="2"/>
  <c r="G7" i="2"/>
  <c r="G6" i="2"/>
  <c r="G5" i="2"/>
  <c r="E7" i="2"/>
  <c r="E6" i="2"/>
  <c r="C6" i="2"/>
  <c r="C5" i="2"/>
  <c r="C4" i="2"/>
  <c r="C3" i="2"/>
  <c r="A4" i="2"/>
  <c r="O19" i="2"/>
  <c r="O20" i="2" a="1"/>
  <c r="O20" i="2" s="1"/>
  <c r="A20" i="2" a="1"/>
  <c r="A20" i="2" s="1"/>
  <c r="C19" i="2" a="1"/>
  <c r="C19" i="2" s="1"/>
  <c r="A19" i="2" a="1"/>
  <c r="A19" i="2" s="1"/>
  <c r="O15" i="2" a="1"/>
  <c r="O15" i="2" s="1"/>
  <c r="J15" i="2"/>
  <c r="I15" i="2"/>
  <c r="H15" i="2"/>
  <c r="G15" i="2"/>
  <c r="F15" i="2"/>
  <c r="E15" i="2"/>
  <c r="D15" i="2"/>
  <c r="E5" i="2" s="1"/>
  <c r="C15" i="2"/>
  <c r="J13" i="2"/>
  <c r="I13" i="2"/>
  <c r="H13" i="2"/>
  <c r="G13" i="2"/>
  <c r="F13" i="2"/>
  <c r="E13" i="2"/>
  <c r="D13" i="2"/>
  <c r="E4" i="2" s="1"/>
  <c r="C13" i="2"/>
  <c r="J11" i="2"/>
  <c r="I11" i="2"/>
  <c r="H11" i="2"/>
  <c r="G11" i="2"/>
  <c r="F11" i="2"/>
  <c r="E11" i="2"/>
  <c r="D11" i="2"/>
  <c r="C11" i="2"/>
  <c r="E3" i="2" s="1"/>
  <c r="K5" i="2" a="1"/>
  <c r="K5" i="2" s="1"/>
  <c r="A5" i="2" a="1"/>
  <c r="A5" i="2" s="1"/>
  <c r="A3" i="2" a="1"/>
  <c r="A3" i="2" s="1"/>
  <c r="C7" i="2" s="1"/>
  <c r="P3" i="1"/>
  <c r="P18" i="1"/>
  <c r="P35" i="1"/>
  <c r="P129" i="1"/>
  <c r="P189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Q189" i="1"/>
  <c r="O189" i="1"/>
  <c r="M189" i="1"/>
  <c r="L189" i="1"/>
  <c r="K189" i="1"/>
  <c r="J189" i="1"/>
  <c r="I189" i="1"/>
  <c r="H189" i="1"/>
  <c r="G189" i="1"/>
  <c r="F189" i="1"/>
  <c r="E189" i="1"/>
  <c r="D189" i="1"/>
  <c r="C189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Q35" i="1"/>
  <c r="O35" i="1"/>
  <c r="M35" i="1"/>
  <c r="L35" i="1"/>
  <c r="K35" i="1"/>
  <c r="J35" i="1"/>
  <c r="I35" i="1"/>
  <c r="H35" i="1"/>
  <c r="G35" i="1"/>
  <c r="F35" i="1"/>
  <c r="E35" i="1"/>
  <c r="D35" i="1"/>
  <c r="C35" i="1"/>
  <c r="Q18" i="1"/>
  <c r="O18" i="1"/>
  <c r="M18" i="1"/>
  <c r="L18" i="1"/>
  <c r="K18" i="1"/>
  <c r="J18" i="1"/>
  <c r="I18" i="1"/>
  <c r="H18" i="1"/>
  <c r="G18" i="1"/>
  <c r="F18" i="1"/>
  <c r="E18" i="1"/>
  <c r="D18" i="1"/>
  <c r="C18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Q3" i="1"/>
  <c r="O3" i="1"/>
  <c r="M3" i="1"/>
  <c r="L3" i="1"/>
  <c r="K3" i="1"/>
  <c r="J3" i="1"/>
  <c r="I3" i="1"/>
  <c r="H3" i="1"/>
  <c r="G3" i="1"/>
  <c r="F3" i="1"/>
  <c r="E3" i="1"/>
  <c r="D3" i="1"/>
  <c r="C3" i="1"/>
  <c r="G4" i="2" l="1"/>
  <c r="K4" i="2"/>
  <c r="K15" i="2"/>
  <c r="K13" i="2"/>
  <c r="O8" i="2"/>
  <c r="O12" i="2" s="1"/>
  <c r="K11" i="2"/>
  <c r="O21" i="2"/>
  <c r="O22" i="2" s="1"/>
  <c r="A6" i="2"/>
  <c r="A7" i="2"/>
  <c r="O23" i="2" l="1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<sst xmlns="http://schemas.openxmlformats.org/spreadsheetml/2006/main" count="1362" uniqueCount="248">
  <si>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</si>
  <si>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</si>
  <si>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</si>
  <si>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</si>
  <si>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</si>
  <si>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</si>
  <si>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</si>
  <si>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</si>
  <si>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</si>
  <si>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</si>
  <si>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</si>
  <si>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</si>
  <si>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</si>
  <si>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</si>
  <si>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</si>
  <si>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</si>
  <si>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</si>
  <si>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</si>
  <si>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</si>
  <si>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</si>
  <si>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</si>
  <si>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</si>
  <si>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</si>
  <si>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</si>
  <si>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</si>
  <si>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</si>
  <si>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</si>
  <si>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</si>
  <si>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</si>
  <si>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</si>
  <si>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</si>
  <si>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</si>
  <si>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</si>
  <si>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</si>
  <si>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</si>
  <si>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</si>
  <si>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</si>
  <si>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</si>
  <si>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</si>
  <si>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</si>
  <si>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</si>
  <si>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</si>
  <si>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</si>
  <si>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</si>
  <si>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</si>
  <si>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</si>
  <si>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</si>
  <si>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</si>
  <si>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</si>
  <si>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</si>
  <si>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</si>
  <si>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</si>
  <si>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</si>
  <si>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</si>
  <si>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</si>
  <si>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</si>
  <si>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</si>
  <si>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</si>
  <si>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</si>
  <si>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</si>
  <si>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</si>
  <si>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</si>
  <si>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</si>
  <si>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</si>
  <si>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</si>
  <si>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</si>
  <si>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</si>
  <si>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</si>
  <si>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</si>
  <si>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</si>
  <si>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</si>
  <si>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</si>
  <si>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</si>
  <si>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</si>
  <si>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</si>
  <si>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</si>
  <si>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</si>
  <si>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</si>
  <si>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</si>
  <si>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</si>
  <si>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</si>
  <si>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</si>
  <si>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</si>
  <si>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</si>
  <si>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</si>
  <si>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</si>
  <si>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</si>
  <si>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</si>
  <si>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</si>
  <si>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</si>
  <si>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</si>
  <si>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</si>
  <si>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</si>
  <si>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</si>
  <si>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</si>
  <si>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</si>
  <si>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</si>
  <si>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</si>
  <si>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</si>
  <si>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</si>
  <si>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</si>
  <si>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</si>
  <si>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</si>
  <si>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</si>
  <si>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</si>
  <si>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</si>
  <si>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</si>
  <si>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</si>
  <si>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</si>
  <si>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</si>
  <si>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</si>
  <si>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</si>
  <si>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</si>
  <si>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</si>
  <si>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</si>
  <si>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</si>
  <si>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</si>
  <si>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</si>
  <si>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</si>
  <si>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</si>
  <si>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</si>
  <si>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</si>
  <si>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</si>
  <si>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</si>
  <si>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</si>
  <si>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</si>
  <si>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</si>
  <si>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</si>
  <si>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</si>
  <si>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</si>
  <si>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</si>
  <si>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</si>
  <si>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</si>
  <si>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</si>
  <si>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</si>
  <si>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</si>
  <si>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</si>
  <si>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</si>
  <si>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</si>
  <si>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</si>
  <si>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</si>
  <si>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</si>
  <si>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</si>
  <si>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</si>
  <si>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</si>
  <si>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</si>
  <si>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</si>
  <si>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</si>
  <si>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</si>
  <si>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</si>
  <si>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</si>
  <si>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</si>
  <si>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</si>
  <si>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</si>
  <si>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</si>
  <si>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</si>
  <si>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</si>
  <si>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</si>
  <si>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</si>
  <si>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</si>
  <si>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</si>
  <si>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</si>
  <si>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</si>
  <si>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</si>
  <si>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</si>
  <si>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</si>
  <si>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</si>
  <si>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</si>
  <si>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</si>
  <si>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</si>
  <si>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</si>
  <si>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</si>
  <si>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</si>
  <si>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</si>
  <si>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</si>
  <si>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</si>
  <si>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</si>
  <si>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</si>
  <si>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</si>
  <si>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</si>
  <si>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</si>
  <si>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</si>
  <si>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</si>
  <si>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</si>
  <si>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</si>
  <si>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</si>
  <si>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</si>
  <si>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</si>
  <si>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</si>
  <si>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</si>
  <si>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</si>
  <si>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</si>
  <si>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</si>
  <si>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</si>
  <si>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</si>
  <si>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</si>
  <si>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</si>
  <si>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</si>
  <si>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</si>
  <si>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</si>
  <si>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</si>
  <si>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</si>
  <si>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</si>
  <si>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</si>
  <si>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</si>
  <si>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</si>
  <si>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</si>
  <si>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</si>
  <si>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Enterprise Value</t>
  </si>
  <si>
    <t>Dividend Yield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</si>
  <si>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</si>
  <si>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</si>
  <si>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</si>
  <si>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</si>
  <si>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</si>
  <si>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</si>
  <si>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</si>
  <si>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</si>
  <si>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</si>
  <si>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</si>
  <si>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</si>
  <si>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</si>
  <si>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</si>
  <si>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</si>
  <si>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</si>
  <si>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</si>
  <si>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</si>
  <si>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</si>
  <si>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</si>
  <si>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</si>
  <si>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</si>
  <si>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</si>
  <si>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</si>
  <si>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</si>
  <si>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</si>
  <si>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</si>
  <si>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</si>
  <si>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</si>
  <si>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</si>
  <si>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</si>
  <si>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</si>
  <si>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</si>
  <si>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</si>
  <si>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</si>
  <si>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</si>
  <si>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</si>
  <si>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</si>
  <si>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Projected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</si>
</sst>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5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164" fontId="4" fillId="9" borderId="2" xfId="0" applyNumberFormat="1" applyFont="1" applyFill="1" applyBorder="1" applyAlignment="1">
      <alignment horizontal="right" vertical="center" indent="1"/>
    </xf>
    <xf numFmtId="9" fontId="12" fillId="10" borderId="5" xfId="1" applyFont="1" applyFill="1" applyBorder="1" applyAlignment="1">
      <alignment horizontal="left" vertical="center" indent="1"/>
    </xf>
    <xf numFmtId="9" fontId="4" fillId="9" borderId="6" xfId="1" applyFont="1" applyFill="1" applyBorder="1" applyAlignment="1">
      <alignment horizontal="right" vertical="center" indent="1"/>
    </xf>
    <xf numFmtId="0" fontId="12" fillId="10" borderId="5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6" xfId="0" applyNumberFormat="1" applyFont="1" applyFill="1" applyBorder="1" applyAlignment="1">
      <alignment horizontal="right" vertical="center" indent="1"/>
    </xf>
    <xf numFmtId="0" fontId="0" fillId="11" borderId="1" xfId="0" applyFill="1" applyBorder="1"/>
    <xf numFmtId="0" fontId="0" fillId="11" borderId="0" xfId="0" applyFill="1"/>
    <xf numFmtId="0" fontId="1" fillId="12" borderId="1" xfId="0" applyFont="1" applyFill="1" applyBorder="1"/>
    <xf numFmtId="164" fontId="4" fillId="9" borderId="0" xfId="0" applyNumberFormat="1" applyFont="1" applyFill="1" applyAlignment="1">
      <alignment horizontal="right" vertical="center" indent="1"/>
    </xf>
    <xf numFmtId="9" fontId="12" fillId="10" borderId="9" xfId="1" applyFont="1" applyFill="1" applyBorder="1" applyAlignment="1">
      <alignment horizontal="left" vertical="center" indent="1"/>
    </xf>
    <xf numFmtId="9" fontId="4" fillId="9" borderId="10" xfId="1" applyFont="1" applyFill="1" applyBorder="1" applyAlignment="1">
      <alignment horizontal="right" vertical="center" indent="1"/>
    </xf>
    <xf numFmtId="0" fontId="12" fillId="10" borderId="1" xfId="1" applyNumberFormat="1" applyFont="1" applyFill="1" applyBorder="1" applyAlignment="1">
      <alignment horizontal="left" vertical="center" indent="1"/>
    </xf>
    <xf numFmtId="164" fontId="4" fillId="9" borderId="10" xfId="0" applyNumberFormat="1" applyFont="1" applyFill="1" applyBorder="1" applyAlignment="1">
      <alignment horizontal="right" vertical="center" indent="1"/>
    </xf>
    <xf numFmtId="0" fontId="12" fillId="10" borderId="9" xfId="1" applyNumberFormat="1" applyFont="1" applyFill="1" applyBorder="1" applyAlignment="1">
      <alignment horizontal="lef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0" fontId="4" fillId="9" borderId="6" xfId="1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166" fontId="4" fillId="9" borderId="6" xfId="0" applyNumberFormat="1" applyFont="1" applyFill="1" applyBorder="1" applyAlignment="1">
      <alignment horizontal="right" vertical="center" indent="1"/>
    </xf>
    <xf numFmtId="0" fontId="13" fillId="11" borderId="6" xfId="0" applyFont="1" applyFill="1" applyBorder="1" applyAlignment="1">
      <alignment horizontal="left" vertical="center" wrapText="1"/>
    </xf>
    <xf numFmtId="164" fontId="14" fillId="11" borderId="5" xfId="0" applyNumberFormat="1" applyFont="1" applyFill="1" applyBorder="1" applyAlignment="1">
      <alignment vertical="center"/>
    </xf>
    <xf numFmtId="167" fontId="4" fillId="9" borderId="0" xfId="0" applyNumberFormat="1" applyFont="1" applyFill="1" applyAlignment="1">
      <alignment horizontal="right" vertical="center" indent="1"/>
    </xf>
    <xf numFmtId="9" fontId="12" fillId="10" borderId="1" xfId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6" fontId="3" fillId="13" borderId="10" xfId="0" applyNumberFormat="1" applyFont="1" applyFill="1" applyBorder="1" applyAlignment="1">
      <alignment horizontal="right" vertical="center" indent="1"/>
    </xf>
    <xf numFmtId="9" fontId="15" fillId="10" borderId="9" xfId="1" applyFont="1" applyFill="1" applyBorder="1" applyAlignment="1">
      <alignment horizontal="left" vertical="center" indent="1"/>
    </xf>
    <xf numFmtId="0" fontId="13" fillId="11" borderId="10" xfId="0" applyFont="1" applyFill="1" applyBorder="1" applyAlignment="1">
      <alignment horizontal="left" vertical="center" wrapText="1"/>
    </xf>
    <xf numFmtId="164" fontId="14" fillId="11" borderId="9" xfId="0" applyNumberFormat="1" applyFont="1" applyFill="1" applyBorder="1" applyAlignment="1">
      <alignment vertical="center"/>
    </xf>
    <xf numFmtId="167" fontId="4" fillId="9" borderId="4" xfId="0" applyNumberFormat="1" applyFont="1" applyFill="1" applyBorder="1" applyAlignment="1">
      <alignment horizontal="right" vertical="center" indent="1"/>
    </xf>
    <xf numFmtId="9" fontId="12" fillId="10" borderId="4" xfId="1" applyFont="1" applyFill="1" applyBorder="1" applyAlignment="1">
      <alignment horizontal="left" vertical="center" indent="1"/>
    </xf>
    <xf numFmtId="165" fontId="4" fillId="9" borderId="11" xfId="1" applyNumberFormat="1" applyFont="1" applyFill="1" applyBorder="1" applyAlignment="1">
      <alignment horizontal="right" vertical="center" indent="1"/>
    </xf>
    <xf numFmtId="9" fontId="12" fillId="10" borderId="12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2" fontId="4" fillId="9" borderId="11" xfId="0" applyNumberFormat="1" applyFont="1" applyFill="1" applyBorder="1" applyAlignment="1">
      <alignment horizontal="right" vertical="center" indent="1"/>
    </xf>
    <xf numFmtId="0" fontId="12" fillId="10" borderId="4" xfId="1" applyNumberFormat="1" applyFont="1" applyFill="1" applyBorder="1" applyAlignment="1">
      <alignment horizontal="left" vertical="center" indent="1"/>
    </xf>
    <xf numFmtId="165" fontId="4" fillId="14" borderId="11" xfId="1" applyNumberFormat="1" applyFont="1" applyFill="1" applyBorder="1" applyAlignment="1">
      <alignment horizontal="right" vertical="center" indent="1"/>
    </xf>
    <xf numFmtId="9" fontId="16" fillId="10" borderId="4" xfId="1" applyFont="1" applyFill="1" applyBorder="1" applyAlignment="1">
      <alignment horizontal="left" vertical="center" indent="1"/>
    </xf>
    <xf numFmtId="9" fontId="3" fillId="13" borderId="11" xfId="1" applyFont="1" applyFill="1" applyBorder="1" applyAlignment="1">
      <alignment horizontal="right" vertical="center" indent="1"/>
    </xf>
    <xf numFmtId="9" fontId="15" fillId="10" borderId="12" xfId="1" applyFont="1" applyFill="1" applyBorder="1" applyAlignment="1">
      <alignment horizontal="left" vertical="center" indent="1"/>
    </xf>
    <xf numFmtId="9" fontId="4" fillId="12" borderId="1" xfId="1" applyFont="1" applyFill="1" applyBorder="1" applyAlignment="1">
      <alignment horizontal="left" indent="1"/>
    </xf>
    <xf numFmtId="0" fontId="17" fillId="11" borderId="10" xfId="0" applyFont="1" applyFill="1" applyBorder="1" applyAlignment="1">
      <alignment horizontal="left" vertical="center" wrapText="1"/>
    </xf>
    <xf numFmtId="10" fontId="18" fillId="11" borderId="9" xfId="0" applyNumberFormat="1" applyFont="1" applyFill="1" applyBorder="1" applyAlignment="1">
      <alignment vertical="center"/>
    </xf>
    <xf numFmtId="0" fontId="3" fillId="9" borderId="0" xfId="0" applyFont="1" applyFill="1" applyAlignment="1">
      <alignment horizontal="right" vertical="center"/>
    </xf>
    <xf numFmtId="0" fontId="19" fillId="9" borderId="0" xfId="0" applyFont="1" applyFill="1" applyAlignment="1">
      <alignment horizontal="right" vertical="center" indent="1"/>
    </xf>
    <xf numFmtId="0" fontId="20" fillId="14" borderId="0" xfId="0" applyFont="1" applyFill="1" applyAlignment="1">
      <alignment horizontal="right" vertical="center" indent="1"/>
    </xf>
    <xf numFmtId="0" fontId="21" fillId="14" borderId="0" xfId="0" applyFont="1" applyFill="1" applyAlignment="1">
      <alignment horizontal="right" vertical="center" indent="1"/>
    </xf>
    <xf numFmtId="0" fontId="12" fillId="12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vertical="center"/>
    </xf>
    <xf numFmtId="9" fontId="19" fillId="10" borderId="1" xfId="1" applyFont="1" applyFill="1" applyBorder="1" applyAlignment="1">
      <alignment horizontal="left" vertical="center" indent="2"/>
    </xf>
    <xf numFmtId="164" fontId="4" fillId="10" borderId="0" xfId="0" applyNumberFormat="1" applyFont="1" applyFill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2" fillId="10" borderId="13" xfId="0" applyNumberFormat="1" applyFont="1" applyFill="1" applyBorder="1" applyAlignment="1">
      <alignment horizontal="right" vertical="center"/>
    </xf>
    <xf numFmtId="9" fontId="22" fillId="11" borderId="1" xfId="1" applyFont="1" applyFill="1" applyBorder="1" applyAlignment="1">
      <alignment horizontal="left" vertical="center" indent="2"/>
    </xf>
    <xf numFmtId="9" fontId="4" fillId="11" borderId="1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vertical="center"/>
    </xf>
    <xf numFmtId="10" fontId="14" fillId="11" borderId="9" xfId="0" applyNumberFormat="1" applyFont="1" applyFill="1" applyBorder="1" applyAlignment="1">
      <alignment vertical="center"/>
    </xf>
    <xf numFmtId="0" fontId="13" fillId="11" borderId="11" xfId="0" applyFont="1" applyFill="1" applyBorder="1" applyAlignment="1">
      <alignment horizontal="left" vertical="center" wrapText="1"/>
    </xf>
    <xf numFmtId="10" fontId="14" fillId="11" borderId="12" xfId="0" applyNumberFormat="1" applyFont="1" applyFill="1" applyBorder="1" applyAlignment="1">
      <alignment vertical="center"/>
    </xf>
    <xf numFmtId="0" fontId="23" fillId="11" borderId="0" xfId="0" applyFont="1" applyFill="1" applyAlignment="1">
      <alignment horizontal="left" vertical="center" indent="1"/>
    </xf>
    <xf numFmtId="2" fontId="14" fillId="11" borderId="9" xfId="0" applyNumberFormat="1" applyFont="1" applyFill="1" applyBorder="1" applyAlignment="1">
      <alignment vertical="center"/>
    </xf>
    <xf numFmtId="9" fontId="4" fillId="10" borderId="1" xfId="1" applyFont="1" applyFill="1" applyBorder="1" applyAlignment="1">
      <alignment horizontal="right" vertical="center" indent="1"/>
    </xf>
    <xf numFmtId="9" fontId="4" fillId="10" borderId="13" xfId="1" applyFont="1" applyFill="1" applyBorder="1" applyAlignment="1">
      <alignment horizontal="right" vertical="center" indent="1"/>
    </xf>
    <xf numFmtId="9" fontId="4" fillId="10" borderId="0" xfId="1" applyFont="1" applyFill="1" applyAlignment="1">
      <alignment horizontal="right" vertical="center" indent="1"/>
    </xf>
    <xf numFmtId="9" fontId="4" fillId="10" borderId="13" xfId="1" applyFont="1" applyFill="1" applyBorder="1" applyAlignment="1">
      <alignment vertical="center"/>
    </xf>
    <xf numFmtId="9" fontId="4" fillId="11" borderId="1" xfId="1" applyFont="1" applyFill="1" applyBorder="1" applyAlignment="1">
      <alignment vertical="center"/>
    </xf>
    <xf numFmtId="0" fontId="17" fillId="11" borderId="11" xfId="0" applyFont="1" applyFill="1" applyBorder="1" applyAlignment="1">
      <alignment horizontal="left" vertical="center" wrapText="1"/>
    </xf>
    <xf numFmtId="10" fontId="18" fillId="11" borderId="12" xfId="0" applyNumberFormat="1" applyFont="1" applyFill="1" applyBorder="1" applyAlignment="1">
      <alignment vertical="center"/>
    </xf>
    <xf numFmtId="0" fontId="12" fillId="12" borderId="1" xfId="0" applyFont="1" applyFill="1" applyBorder="1" applyAlignment="1">
      <alignment horizontal="left" vertical="center" indent="1"/>
    </xf>
    <xf numFmtId="164" fontId="14" fillId="11" borderId="9" xfId="0" applyNumberFormat="1" applyFont="1" applyFill="1" applyBorder="1" applyAlignment="1">
      <alignment horizontal="right" vertical="center"/>
    </xf>
    <xf numFmtId="10" fontId="18" fillId="11" borderId="9" xfId="0" applyNumberFormat="1" applyFont="1" applyFill="1" applyBorder="1" applyAlignment="1">
      <alignment horizontal="right" vertical="center"/>
    </xf>
    <xf numFmtId="10" fontId="18" fillId="11" borderId="12" xfId="0" applyNumberFormat="1" applyFont="1" applyFill="1" applyBorder="1" applyAlignment="1">
      <alignment horizontal="right" vertical="center"/>
    </xf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0" fontId="3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12" fillId="12" borderId="1" xfId="0" applyFont="1" applyFill="1" applyBorder="1" applyAlignment="1">
      <alignment horizontal="left" vertical="center" wrapText="1" indent="2"/>
    </xf>
    <xf numFmtId="9" fontId="15" fillId="10" borderId="7" xfId="1" applyFont="1" applyFill="1" applyBorder="1" applyAlignment="1">
      <alignment horizontal="center" vertical="center"/>
    </xf>
    <xf numFmtId="9" fontId="15" fillId="10" borderId="8" xfId="1" applyFont="1" applyFill="1" applyBorder="1" applyAlignment="1">
      <alignment horizontal="center" vertical="center"/>
    </xf>
    <xf numFmtId="10" fontId="3" fillId="9" borderId="7" xfId="1" applyNumberFormat="1" applyFont="1" applyFill="1" applyBorder="1" applyAlignment="1">
      <alignment horizontal="center" vertical="center"/>
    </xf>
    <xf numFmtId="10" fontId="3" fillId="9" borderId="8" xfId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9" fontId="3" fillId="11" borderId="7" xfId="1" applyFont="1" applyFill="1" applyBorder="1" applyAlignment="1">
      <alignment horizontal="center" vertical="center"/>
    </xf>
    <xf numFmtId="9" fontId="3" fillId="11" borderId="8" xfId="1" applyFont="1" applyFill="1" applyBorder="1" applyAlignment="1">
      <alignment horizontal="center" vertical="center"/>
    </xf>
    <xf numFmtId="9" fontId="4" fillId="10" borderId="7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est Quality"/>
      <sheetName val="Growth"/>
      <sheetName val="Value"/>
      <sheetName val="Watchlist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4.845E-2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https://www.bing.com/financeapi/forcetrigger?t=a25w8m&amp;q=XNAS%3aWING&amp;form=skydnc</v>
    <v>Learn more on Bing</v>
  </rv>
  <rv s="1">
    <v>0</v>
    <v>WINGSTOP INC. (XNAS:WING)</v>
    <v>2</v>
    <v>3</v>
    <v>Finance</v>
    <v>4</v>
    <v>en-US</v>
    <v>a25w8m</v>
    <v>268435456</v>
    <v>1</v>
    <v>Powered by Refinitiv</v>
    <v>223.77</v>
    <v>129.46</v>
    <v>1.4654</v>
    <v>0.51</v>
    <v>2.8639999999999998E-3</v>
    <v>USD</v>
    <v>Wingstop Inc. is a fast casual chicken wings-focused restaurant chain, with over 1,950 locations worldwide. The Company is in the business of franchising and operating Wingstop restaurants. The Company is primarily a franchisor, with approximately 98% of its restaurants owned and operated by independent franchisees. It offers classic and boneless wings, tenders, and chicken sandwiches, always cooked to order and hand sauced-and-tossed in about 11 distinctive flavors. The Company also complements its wings, tenders, and chicken sandwiches with seasoned fries, ranch, bleu cheese dips, hand-cut carrots and celery. It offers various order options, including eat-in, to go, individual, combo meals and family packs. It also developed a custom Website and mobile ordering application. The Company operates approximately a total of 1,916 restaurants in 44 states and nine countries.</v>
    <v>1031</v>
    <v>Nasdaq Stock Market</v>
    <v>XNAS</v>
    <v>XNAS</v>
    <v>15505 WRIGHT BROTHERS DRIVE, ADDISON, TX, 75001 US</v>
    <v>180.13</v>
    <v>Hotels &amp; Entertainment Services</v>
    <v>Stock</v>
    <v>45229.872391724217</v>
    <v>0</v>
    <v>176.82</v>
    <v>5353101817</v>
    <v>WINGSTOP INC.</v>
    <v>WINGSTOP INC.</v>
    <v>178.06</v>
    <v>85.322199999999995</v>
    <v>178.06</v>
    <v>178.57</v>
    <v>29977610</v>
    <v>WING</v>
    <v>WINGSTOP INC. (XNAS:WING)</v>
    <v>424289</v>
    <v>534789</v>
    <v>2015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WING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WING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6"/>
  <sheetViews>
    <sheetView topLeftCell="A113" workbookViewId="0">
      <pane xSplit="1" topLeftCell="E1" activePane="topRight" state="frozen"/>
      <selection pane="topRight" activeCell="A190" sqref="A190:XFD190"/>
    </sheetView>
  </sheetViews>
  <sheetFormatPr baseColWidth="10" defaultRowHeight="15" x14ac:dyDescent="0.2"/>
  <cols>
    <col min="1" max="1" width="40.83203125" customWidth="1"/>
    <col min="2" max="18" width="14.83203125" customWidth="1"/>
  </cols>
  <sheetData>
    <row r="1" spans="1:17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6" x14ac:dyDescent="0.2">
      <c r="A2" s="100" t="s">
        <v>16</v>
      </c>
      <c r="B2" s="98">
        <v>51591000</v>
      </c>
      <c r="C2" s="98">
        <v>58999000</v>
      </c>
      <c r="D2" s="98">
        <v>67449000</v>
      </c>
      <c r="E2" s="98">
        <v>77969000</v>
      </c>
      <c r="F2" s="98">
        <v>91359000</v>
      </c>
      <c r="G2" s="98">
        <v>105552000</v>
      </c>
      <c r="H2" s="98">
        <v>153181000</v>
      </c>
      <c r="I2" s="98">
        <v>199676000</v>
      </c>
      <c r="J2" s="98">
        <v>248811000</v>
      </c>
      <c r="K2" s="98">
        <v>282502000</v>
      </c>
      <c r="L2" s="98">
        <v>357521000</v>
      </c>
      <c r="M2" s="99">
        <v>413433000</v>
      </c>
      <c r="N2" s="98">
        <v>92672000</v>
      </c>
      <c r="O2" s="98">
        <v>104867000</v>
      </c>
      <c r="P2" s="98">
        <v>108721000</v>
      </c>
      <c r="Q2" s="98">
        <v>107173000</v>
      </c>
    </row>
    <row r="3" spans="1:17" ht="16" x14ac:dyDescent="0.2">
      <c r="A3" s="9" t="s">
        <v>189</v>
      </c>
      <c r="B3" s="10"/>
      <c r="C3" s="11">
        <f t="shared" ref="C3:P3" si="0">(C2/B2)-1</f>
        <v>0.14359093640363629</v>
      </c>
      <c r="D3" s="11">
        <f t="shared" si="0"/>
        <v>0.1432227664875676</v>
      </c>
      <c r="E3" s="11">
        <f t="shared" si="0"/>
        <v>0.15596969562187724</v>
      </c>
      <c r="F3" s="11">
        <f t="shared" si="0"/>
        <v>0.17173492028883275</v>
      </c>
      <c r="G3" s="11">
        <f t="shared" si="0"/>
        <v>0.15535415230026595</v>
      </c>
      <c r="H3" s="11">
        <f t="shared" si="0"/>
        <v>0.45123730483553137</v>
      </c>
      <c r="I3" s="11">
        <f t="shared" si="0"/>
        <v>0.30352981113845723</v>
      </c>
      <c r="J3" s="11">
        <f t="shared" si="0"/>
        <v>0.24607363929565906</v>
      </c>
      <c r="K3" s="11">
        <f t="shared" si="0"/>
        <v>0.13540800045014079</v>
      </c>
      <c r="L3" s="11">
        <f t="shared" si="0"/>
        <v>0.26555210228600146</v>
      </c>
      <c r="M3" s="11">
        <f t="shared" si="0"/>
        <v>0.15638801636826938</v>
      </c>
      <c r="N3" s="11"/>
      <c r="O3" s="11">
        <f t="shared" si="0"/>
        <v>0.131593145718232</v>
      </c>
      <c r="P3" s="11">
        <f t="shared" si="0"/>
        <v>3.6751313568615496E-2</v>
      </c>
      <c r="Q3" s="11">
        <f>(Q2/P2)-1</f>
        <v>-1.4238279633189577E-2</v>
      </c>
    </row>
    <row r="4" spans="1:17" ht="16" x14ac:dyDescent="0.2">
      <c r="A4" s="3" t="s">
        <v>17</v>
      </c>
      <c r="B4" s="4">
        <v>51591000</v>
      </c>
      <c r="C4" s="4">
        <v>58999000</v>
      </c>
      <c r="D4" s="4">
        <v>67449000</v>
      </c>
      <c r="E4" s="4">
        <v>77969000</v>
      </c>
      <c r="F4" s="4">
        <v>91359000</v>
      </c>
      <c r="G4" s="4">
        <v>105552000</v>
      </c>
      <c r="H4" s="4">
        <v>153181000</v>
      </c>
      <c r="I4" s="4">
        <v>199676000</v>
      </c>
      <c r="J4" s="4">
        <v>248811000</v>
      </c>
      <c r="K4" s="4">
        <v>282502000</v>
      </c>
      <c r="L4" s="4">
        <v>357521000</v>
      </c>
      <c r="M4" s="5">
        <v>413433000</v>
      </c>
      <c r="N4" s="4">
        <v>92672000</v>
      </c>
      <c r="O4" s="4">
        <v>104867000</v>
      </c>
      <c r="P4" s="4">
        <v>108721000</v>
      </c>
      <c r="Q4" s="4">
        <v>107173000</v>
      </c>
    </row>
    <row r="5" spans="1:17" ht="16" x14ac:dyDescent="0.2">
      <c r="A5" s="3" t="s">
        <v>18</v>
      </c>
      <c r="B5" s="4">
        <v>21262000</v>
      </c>
      <c r="C5" s="4">
        <v>22176000</v>
      </c>
      <c r="D5" s="4">
        <v>20473000</v>
      </c>
      <c r="E5" s="4">
        <v>22219000</v>
      </c>
      <c r="F5" s="4">
        <v>25308000</v>
      </c>
      <c r="G5" s="4">
        <v>28745000</v>
      </c>
      <c r="H5" s="4">
        <v>65762000</v>
      </c>
      <c r="I5" s="4">
        <v>93996000</v>
      </c>
      <c r="J5" s="4">
        <v>118011000</v>
      </c>
      <c r="K5" s="4">
        <v>141405000</v>
      </c>
      <c r="L5" s="4">
        <v>187399000</v>
      </c>
      <c r="M5" s="5">
        <v>214882000</v>
      </c>
      <c r="N5" s="4">
        <v>48830000</v>
      </c>
      <c r="O5" s="4">
        <v>54343000</v>
      </c>
      <c r="P5" s="4">
        <v>56338000</v>
      </c>
      <c r="Q5" s="4">
        <v>55371000</v>
      </c>
    </row>
    <row r="6" spans="1:17" ht="16" x14ac:dyDescent="0.2">
      <c r="A6" s="3" t="s">
        <v>19</v>
      </c>
      <c r="B6" s="4">
        <v>21262000</v>
      </c>
      <c r="C6" s="4">
        <v>22176000</v>
      </c>
      <c r="D6" s="4">
        <v>20473000</v>
      </c>
      <c r="E6" s="4">
        <v>22219000</v>
      </c>
      <c r="F6" s="4">
        <v>25308000</v>
      </c>
      <c r="G6" s="4">
        <v>28745000</v>
      </c>
      <c r="H6" s="4">
        <v>65762000</v>
      </c>
      <c r="I6" s="4">
        <v>93996000</v>
      </c>
      <c r="J6" s="4">
        <v>118011000</v>
      </c>
      <c r="K6" s="4">
        <v>141405000</v>
      </c>
      <c r="L6" s="4">
        <v>187399000</v>
      </c>
      <c r="M6" s="5">
        <v>214882000</v>
      </c>
      <c r="N6" s="4">
        <v>48830000</v>
      </c>
      <c r="O6" s="4">
        <v>54343000</v>
      </c>
      <c r="P6" s="4">
        <v>56338000</v>
      </c>
      <c r="Q6" s="4">
        <v>55371000</v>
      </c>
    </row>
    <row r="7" spans="1:17" ht="16" x14ac:dyDescent="0.2">
      <c r="A7" s="104" t="s">
        <v>20</v>
      </c>
      <c r="B7" s="102">
        <v>30329000</v>
      </c>
      <c r="C7" s="102">
        <v>36823000</v>
      </c>
      <c r="D7" s="102">
        <v>46976000</v>
      </c>
      <c r="E7" s="102">
        <v>55750000</v>
      </c>
      <c r="F7" s="102">
        <v>66051000</v>
      </c>
      <c r="G7" s="102">
        <v>76807000</v>
      </c>
      <c r="H7" s="102">
        <v>87419000</v>
      </c>
      <c r="I7" s="102">
        <v>105680000</v>
      </c>
      <c r="J7" s="102">
        <v>130800000</v>
      </c>
      <c r="K7" s="102">
        <v>141097000</v>
      </c>
      <c r="L7" s="102">
        <v>170122000</v>
      </c>
      <c r="M7" s="103">
        <v>198551000</v>
      </c>
      <c r="N7" s="102">
        <v>43842000</v>
      </c>
      <c r="O7" s="102">
        <v>50524000</v>
      </c>
      <c r="P7" s="102">
        <v>52383000</v>
      </c>
      <c r="Q7" s="102">
        <v>51802000</v>
      </c>
    </row>
    <row r="8" spans="1:17" ht="16" x14ac:dyDescent="0.2">
      <c r="A8" s="101" t="s">
        <v>56</v>
      </c>
      <c r="B8" s="105">
        <v>58.79</v>
      </c>
      <c r="C8" s="105">
        <v>62.41</v>
      </c>
      <c r="D8" s="105">
        <v>69.650000000000006</v>
      </c>
      <c r="E8" s="105">
        <v>71.5</v>
      </c>
      <c r="F8" s="105">
        <v>72.3</v>
      </c>
      <c r="G8" s="105">
        <v>72.77</v>
      </c>
      <c r="H8" s="105">
        <v>57.07</v>
      </c>
      <c r="I8" s="105">
        <v>52.93</v>
      </c>
      <c r="J8" s="105">
        <v>52.57</v>
      </c>
      <c r="K8" s="105">
        <v>49.95</v>
      </c>
      <c r="L8" s="105">
        <v>47.58</v>
      </c>
      <c r="M8" s="106">
        <v>48.02</v>
      </c>
      <c r="N8" s="105">
        <v>47.31</v>
      </c>
      <c r="O8" s="105">
        <v>48.18</v>
      </c>
      <c r="P8" s="105">
        <v>48.18</v>
      </c>
      <c r="Q8" s="105">
        <v>48.33</v>
      </c>
    </row>
    <row r="9" spans="1:17" ht="16" x14ac:dyDescent="0.2">
      <c r="A9" s="3" t="s">
        <v>21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5" t="s">
        <v>22</v>
      </c>
      <c r="N9" s="4" t="s">
        <v>22</v>
      </c>
      <c r="O9" s="4" t="s">
        <v>22</v>
      </c>
      <c r="P9" s="4" t="s">
        <v>22</v>
      </c>
      <c r="Q9" s="4" t="s">
        <v>22</v>
      </c>
    </row>
    <row r="10" spans="1:17" ht="16" x14ac:dyDescent="0.2">
      <c r="A10" s="3" t="s">
        <v>23</v>
      </c>
      <c r="B10" s="4">
        <v>18826000</v>
      </c>
      <c r="C10" s="4">
        <v>21943000</v>
      </c>
      <c r="D10" s="4">
        <v>28910000</v>
      </c>
      <c r="E10" s="4">
        <v>36032000</v>
      </c>
      <c r="F10" s="4">
        <v>36848000</v>
      </c>
      <c r="G10" s="4">
        <v>40527000</v>
      </c>
      <c r="H10" s="4">
        <v>48892000</v>
      </c>
      <c r="I10" s="4">
        <v>62779000</v>
      </c>
      <c r="J10" s="4">
        <v>76503000</v>
      </c>
      <c r="K10" s="4">
        <v>70838000</v>
      </c>
      <c r="L10" s="4">
        <v>77960000</v>
      </c>
      <c r="M10" s="5">
        <v>93130000</v>
      </c>
      <c r="N10" s="4">
        <v>19522000</v>
      </c>
      <c r="O10" s="4">
        <v>21628000</v>
      </c>
      <c r="P10" s="4">
        <v>26634000</v>
      </c>
      <c r="Q10" s="4">
        <v>25346000</v>
      </c>
    </row>
    <row r="11" spans="1:17" ht="16" x14ac:dyDescent="0.2">
      <c r="A11" s="3" t="s">
        <v>24</v>
      </c>
      <c r="B11" s="4">
        <v>15896000</v>
      </c>
      <c r="C11" s="4">
        <v>18913000</v>
      </c>
      <c r="D11" s="4">
        <v>26006000</v>
      </c>
      <c r="E11" s="4">
        <v>33350000</v>
      </c>
      <c r="F11" s="4">
        <v>33840000</v>
      </c>
      <c r="G11" s="4">
        <v>37151000</v>
      </c>
      <c r="H11" s="4">
        <v>44579000</v>
      </c>
      <c r="I11" s="4">
        <v>57295000</v>
      </c>
      <c r="J11" s="4">
        <v>68985000</v>
      </c>
      <c r="K11" s="4">
        <v>62895000</v>
      </c>
      <c r="L11" s="4">
        <v>67061000</v>
      </c>
      <c r="M11" s="5">
        <v>80798000</v>
      </c>
      <c r="N11" s="4">
        <v>16686000</v>
      </c>
      <c r="O11" s="4">
        <v>18339000</v>
      </c>
      <c r="P11" s="4">
        <v>23645000</v>
      </c>
      <c r="Q11" s="4">
        <v>22128000</v>
      </c>
    </row>
    <row r="12" spans="1:17" ht="16" x14ac:dyDescent="0.2">
      <c r="A12" s="12" t="s">
        <v>190</v>
      </c>
      <c r="B12" s="11">
        <f t="shared" ref="B12:Q12" si="1">B11/B2</f>
        <v>0.30811575662421742</v>
      </c>
      <c r="C12" s="11">
        <f t="shared" si="1"/>
        <v>0.32056475533483619</v>
      </c>
      <c r="D12" s="11">
        <f t="shared" si="1"/>
        <v>0.38556539014662933</v>
      </c>
      <c r="E12" s="11">
        <f t="shared" si="1"/>
        <v>0.4277340994497813</v>
      </c>
      <c r="F12" s="11">
        <f t="shared" si="1"/>
        <v>0.37040685646734312</v>
      </c>
      <c r="G12" s="11">
        <f t="shared" si="1"/>
        <v>0.35196869789298169</v>
      </c>
      <c r="H12" s="11">
        <f t="shared" si="1"/>
        <v>0.29102173246029206</v>
      </c>
      <c r="I12" s="11">
        <f t="shared" si="1"/>
        <v>0.28693984254492277</v>
      </c>
      <c r="J12" s="11">
        <f t="shared" si="1"/>
        <v>0.27725864210183632</v>
      </c>
      <c r="K12" s="11">
        <f t="shared" si="1"/>
        <v>0.22263559196041091</v>
      </c>
      <c r="L12" s="11">
        <f t="shared" si="1"/>
        <v>0.18757219855616872</v>
      </c>
      <c r="M12" s="11">
        <f t="shared" si="1"/>
        <v>0.19543190795122789</v>
      </c>
      <c r="N12" s="11">
        <f t="shared" si="1"/>
        <v>0.18005438535911603</v>
      </c>
      <c r="O12" s="11">
        <f t="shared" si="1"/>
        <v>0.17487865582118303</v>
      </c>
      <c r="P12" s="11">
        <f t="shared" si="1"/>
        <v>0.21748328289842808</v>
      </c>
      <c r="Q12" s="11">
        <f t="shared" si="1"/>
        <v>0.20646991313110577</v>
      </c>
    </row>
    <row r="13" spans="1:17" ht="16" x14ac:dyDescent="0.2">
      <c r="A13" s="3" t="s">
        <v>25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5">
        <v>0</v>
      </c>
      <c r="N13" s="4">
        <v>0</v>
      </c>
      <c r="O13" s="4">
        <v>0</v>
      </c>
      <c r="P13" s="4">
        <v>0</v>
      </c>
      <c r="Q13" s="4">
        <v>0</v>
      </c>
    </row>
    <row r="14" spans="1:17" ht="16" x14ac:dyDescent="0.2">
      <c r="A14" s="12" t="s">
        <v>191</v>
      </c>
      <c r="B14" s="11">
        <f t="shared" ref="B14:Q14" si="2">B13/B2</f>
        <v>0</v>
      </c>
      <c r="C14" s="11">
        <f t="shared" si="2"/>
        <v>0</v>
      </c>
      <c r="D14" s="11">
        <f t="shared" si="2"/>
        <v>0</v>
      </c>
      <c r="E14" s="11">
        <f t="shared" si="2"/>
        <v>0</v>
      </c>
      <c r="F14" s="11">
        <f t="shared" si="2"/>
        <v>0</v>
      </c>
      <c r="G14" s="11">
        <f t="shared" si="2"/>
        <v>0</v>
      </c>
      <c r="H14" s="11">
        <f t="shared" si="2"/>
        <v>0</v>
      </c>
      <c r="I14" s="11">
        <f t="shared" si="2"/>
        <v>0</v>
      </c>
      <c r="J14" s="11">
        <f t="shared" si="2"/>
        <v>0</v>
      </c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2"/>
        <v>0</v>
      </c>
      <c r="O14" s="11">
        <f t="shared" si="2"/>
        <v>0</v>
      </c>
      <c r="P14" s="11">
        <f t="shared" si="2"/>
        <v>0</v>
      </c>
      <c r="Q14" s="11">
        <f t="shared" si="2"/>
        <v>0</v>
      </c>
    </row>
    <row r="15" spans="1:17" ht="16" x14ac:dyDescent="0.2">
      <c r="A15" s="3" t="s">
        <v>26</v>
      </c>
      <c r="B15" s="4">
        <v>2930000</v>
      </c>
      <c r="C15" s="4">
        <v>3030000</v>
      </c>
      <c r="D15" s="4">
        <v>2904000</v>
      </c>
      <c r="E15" s="4">
        <v>2682000</v>
      </c>
      <c r="F15" s="4">
        <v>3008000</v>
      </c>
      <c r="G15" s="4">
        <v>3376000</v>
      </c>
      <c r="H15" s="4">
        <v>4313000</v>
      </c>
      <c r="I15" s="4">
        <v>5484000</v>
      </c>
      <c r="J15" s="4">
        <v>7518000</v>
      </c>
      <c r="K15" s="4">
        <v>7943000</v>
      </c>
      <c r="L15" s="4">
        <v>10899000</v>
      </c>
      <c r="M15" s="5">
        <v>12332000</v>
      </c>
      <c r="N15" s="4">
        <v>2836000</v>
      </c>
      <c r="O15" s="4">
        <v>3289000</v>
      </c>
      <c r="P15" s="4">
        <v>2989000</v>
      </c>
      <c r="Q15" s="4">
        <v>3218000</v>
      </c>
    </row>
    <row r="16" spans="1:17" ht="16" x14ac:dyDescent="0.2">
      <c r="A16" s="100" t="s">
        <v>27</v>
      </c>
      <c r="B16" s="98">
        <v>11503000</v>
      </c>
      <c r="C16" s="98">
        <v>14880000</v>
      </c>
      <c r="D16" s="98">
        <v>18066000</v>
      </c>
      <c r="E16" s="98">
        <v>19718000</v>
      </c>
      <c r="F16" s="98">
        <v>29203000</v>
      </c>
      <c r="G16" s="98">
        <v>36280000</v>
      </c>
      <c r="H16" s="98">
        <v>38527000</v>
      </c>
      <c r="I16" s="98">
        <v>42901000</v>
      </c>
      <c r="J16" s="98">
        <v>54297000</v>
      </c>
      <c r="K16" s="98">
        <v>70259000</v>
      </c>
      <c r="L16" s="98">
        <v>92162000</v>
      </c>
      <c r="M16" s="99">
        <v>105421000</v>
      </c>
      <c r="N16" s="98">
        <v>24320000</v>
      </c>
      <c r="O16" s="98">
        <v>28896000</v>
      </c>
      <c r="P16" s="98">
        <v>25749000</v>
      </c>
      <c r="Q16" s="98">
        <v>26456000</v>
      </c>
    </row>
    <row r="17" spans="1:17" ht="16" x14ac:dyDescent="0.2">
      <c r="A17" s="23" t="s">
        <v>57</v>
      </c>
      <c r="B17" s="107">
        <v>22.3</v>
      </c>
      <c r="C17" s="107">
        <v>25.22</v>
      </c>
      <c r="D17" s="107">
        <v>26.78</v>
      </c>
      <c r="E17" s="107">
        <v>25.29</v>
      </c>
      <c r="F17" s="107">
        <v>31.97</v>
      </c>
      <c r="G17" s="107">
        <v>34.369999999999997</v>
      </c>
      <c r="H17" s="107">
        <v>25.15</v>
      </c>
      <c r="I17" s="107">
        <v>21.49</v>
      </c>
      <c r="J17" s="107">
        <v>21.82</v>
      </c>
      <c r="K17" s="107">
        <v>24.87</v>
      </c>
      <c r="L17" s="107">
        <v>25.78</v>
      </c>
      <c r="M17" s="108">
        <v>25.5</v>
      </c>
      <c r="N17" s="107">
        <v>26.24</v>
      </c>
      <c r="O17" s="107">
        <v>27.55</v>
      </c>
      <c r="P17" s="107">
        <v>23.68</v>
      </c>
      <c r="Q17" s="107">
        <v>24.69</v>
      </c>
    </row>
    <row r="18" spans="1:17" ht="16" x14ac:dyDescent="0.2">
      <c r="A18" s="13" t="s">
        <v>192</v>
      </c>
      <c r="B18" s="10"/>
      <c r="C18" s="11">
        <f>(C16/B16)-1</f>
        <v>0.29357558897678859</v>
      </c>
      <c r="D18" s="11">
        <f>(D16/C16)-1</f>
        <v>0.21411290322580645</v>
      </c>
      <c r="E18" s="11">
        <f>(E16/D16)-1</f>
        <v>9.1442488652717868E-2</v>
      </c>
      <c r="F18" s="11">
        <f t="shared" ref="F18:M18" si="3">(F16/E16)-1</f>
        <v>0.4810325590830713</v>
      </c>
      <c r="G18" s="11">
        <f t="shared" si="3"/>
        <v>0.24233811594699173</v>
      </c>
      <c r="H18" s="11">
        <f t="shared" si="3"/>
        <v>6.1934950385887477E-2</v>
      </c>
      <c r="I18" s="11">
        <f t="shared" si="3"/>
        <v>0.11353077062839056</v>
      </c>
      <c r="J18" s="11">
        <f t="shared" si="3"/>
        <v>0.26563483368686036</v>
      </c>
      <c r="K18" s="11">
        <f t="shared" si="3"/>
        <v>0.29397572609904787</v>
      </c>
      <c r="L18" s="11">
        <f t="shared" si="3"/>
        <v>0.31174653781010253</v>
      </c>
      <c r="M18" s="11">
        <f t="shared" si="3"/>
        <v>0.14386623554176348</v>
      </c>
      <c r="N18" s="11"/>
      <c r="O18" s="11">
        <f>(O16/N16)-1</f>
        <v>0.18815789473684208</v>
      </c>
      <c r="P18" s="11">
        <f>(P16/O16)-1</f>
        <v>-0.10890780730897009</v>
      </c>
      <c r="Q18" s="11">
        <f>(Q16/P16)-1</f>
        <v>2.7457376985513982E-2</v>
      </c>
    </row>
    <row r="19" spans="1:17" ht="16" x14ac:dyDescent="0.2">
      <c r="A19" s="3" t="s">
        <v>28</v>
      </c>
      <c r="B19" s="4">
        <v>4923000</v>
      </c>
      <c r="C19" s="4">
        <v>2857000</v>
      </c>
      <c r="D19" s="4">
        <v>3768000</v>
      </c>
      <c r="E19" s="4">
        <v>3873000</v>
      </c>
      <c r="F19" s="4">
        <v>4650000</v>
      </c>
      <c r="G19" s="4">
        <v>5131000</v>
      </c>
      <c r="H19" s="4">
        <v>11600000</v>
      </c>
      <c r="I19" s="4">
        <v>17136000</v>
      </c>
      <c r="J19" s="4">
        <v>27354000</v>
      </c>
      <c r="K19" s="4">
        <v>11352000</v>
      </c>
      <c r="L19" s="4">
        <v>22846000</v>
      </c>
      <c r="M19" s="5">
        <v>20834000</v>
      </c>
      <c r="N19" s="4">
        <v>6271000</v>
      </c>
      <c r="O19" s="4">
        <v>5527000</v>
      </c>
      <c r="P19" s="4">
        <v>4838000</v>
      </c>
      <c r="Q19" s="4">
        <v>4198000</v>
      </c>
    </row>
    <row r="20" spans="1:17" ht="16" x14ac:dyDescent="0.2">
      <c r="A20" s="3" t="s">
        <v>29</v>
      </c>
      <c r="B20" s="4">
        <v>2431000</v>
      </c>
      <c r="C20" s="4">
        <v>2863000</v>
      </c>
      <c r="D20" s="4">
        <v>3684000</v>
      </c>
      <c r="E20" s="4">
        <v>3477000</v>
      </c>
      <c r="F20" s="4">
        <v>4396000</v>
      </c>
      <c r="G20" s="4">
        <v>5131000</v>
      </c>
      <c r="H20" s="4">
        <v>10123000</v>
      </c>
      <c r="I20" s="4">
        <v>17136000</v>
      </c>
      <c r="J20" s="4">
        <v>16782000</v>
      </c>
      <c r="K20" s="4">
        <v>14984000</v>
      </c>
      <c r="L20" s="4">
        <v>21230000</v>
      </c>
      <c r="M20" s="5">
        <v>19869000</v>
      </c>
      <c r="N20" s="4">
        <v>5742000</v>
      </c>
      <c r="O20" s="4">
        <v>5310000</v>
      </c>
      <c r="P20" s="4">
        <v>4573000</v>
      </c>
      <c r="Q20" s="4">
        <v>4244000</v>
      </c>
    </row>
    <row r="21" spans="1:17" ht="16" x14ac:dyDescent="0.2">
      <c r="A21" s="3" t="s">
        <v>30</v>
      </c>
      <c r="B21" s="4">
        <v>2431000</v>
      </c>
      <c r="C21" s="4">
        <v>2863000</v>
      </c>
      <c r="D21" s="4">
        <v>3684000</v>
      </c>
      <c r="E21" s="4">
        <v>3477000</v>
      </c>
      <c r="F21" s="4">
        <v>4396000</v>
      </c>
      <c r="G21" s="4">
        <v>5131000</v>
      </c>
      <c r="H21" s="4">
        <v>10123000</v>
      </c>
      <c r="I21" s="4">
        <v>17136000</v>
      </c>
      <c r="J21" s="4">
        <v>16782000</v>
      </c>
      <c r="K21" s="4">
        <v>14984000</v>
      </c>
      <c r="L21" s="4">
        <v>21230000</v>
      </c>
      <c r="M21" s="5">
        <v>19869000</v>
      </c>
      <c r="N21" s="4">
        <v>5742000</v>
      </c>
      <c r="O21" s="4">
        <v>5310000</v>
      </c>
      <c r="P21" s="4">
        <v>4573000</v>
      </c>
      <c r="Q21" s="4">
        <v>4244000</v>
      </c>
    </row>
    <row r="22" spans="1:17" ht="16" x14ac:dyDescent="0.2">
      <c r="A22" s="3" t="s">
        <v>31</v>
      </c>
      <c r="B22" s="4" t="s">
        <v>22</v>
      </c>
      <c r="C22" s="4" t="s">
        <v>22</v>
      </c>
      <c r="D22" s="4" t="s">
        <v>22</v>
      </c>
      <c r="E22" s="4" t="s">
        <v>22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5" t="s">
        <v>22</v>
      </c>
      <c r="N22" s="4" t="s">
        <v>22</v>
      </c>
      <c r="O22" s="4" t="s">
        <v>22</v>
      </c>
      <c r="P22" s="4" t="s">
        <v>22</v>
      </c>
      <c r="Q22" s="4" t="s">
        <v>22</v>
      </c>
    </row>
    <row r="23" spans="1:17" ht="16" x14ac:dyDescent="0.2">
      <c r="A23" s="3" t="s">
        <v>32</v>
      </c>
      <c r="B23" s="4">
        <v>2492000</v>
      </c>
      <c r="C23" s="4">
        <v>-6000</v>
      </c>
      <c r="D23" s="4">
        <v>84000</v>
      </c>
      <c r="E23" s="4">
        <v>396000</v>
      </c>
      <c r="F23" s="4">
        <v>254000</v>
      </c>
      <c r="G23" s="4" t="s">
        <v>22</v>
      </c>
      <c r="H23" s="4">
        <v>1477000</v>
      </c>
      <c r="I23" s="4" t="s">
        <v>22</v>
      </c>
      <c r="J23" s="4">
        <v>10572000</v>
      </c>
      <c r="K23" s="4">
        <v>-3632000</v>
      </c>
      <c r="L23" s="4">
        <v>1616000</v>
      </c>
      <c r="M23" s="5">
        <v>965000</v>
      </c>
      <c r="N23" s="4">
        <v>529000</v>
      </c>
      <c r="O23" s="4">
        <v>217000</v>
      </c>
      <c r="P23" s="4">
        <v>265000</v>
      </c>
      <c r="Q23" s="4">
        <v>-46000</v>
      </c>
    </row>
    <row r="24" spans="1:17" ht="16" x14ac:dyDescent="0.2">
      <c r="A24" s="3" t="s">
        <v>33</v>
      </c>
      <c r="B24" s="4">
        <v>6580000</v>
      </c>
      <c r="C24" s="4">
        <v>12023000</v>
      </c>
      <c r="D24" s="4">
        <v>14298000</v>
      </c>
      <c r="E24" s="4">
        <v>15845000</v>
      </c>
      <c r="F24" s="4">
        <v>24553000</v>
      </c>
      <c r="G24" s="4">
        <v>31149000</v>
      </c>
      <c r="H24" s="4">
        <v>26927000</v>
      </c>
      <c r="I24" s="4">
        <v>25765000</v>
      </c>
      <c r="J24" s="4">
        <v>26943000</v>
      </c>
      <c r="K24" s="4">
        <v>58907000</v>
      </c>
      <c r="L24" s="4">
        <v>69316000</v>
      </c>
      <c r="M24" s="5">
        <v>84587000</v>
      </c>
      <c r="N24" s="4">
        <v>18049000</v>
      </c>
      <c r="O24" s="4">
        <v>23369000</v>
      </c>
      <c r="P24" s="4">
        <v>20911000</v>
      </c>
      <c r="Q24" s="4">
        <v>22258000</v>
      </c>
    </row>
    <row r="25" spans="1:17" ht="16" x14ac:dyDescent="0.2">
      <c r="A25" s="3" t="s">
        <v>34</v>
      </c>
      <c r="B25" s="4">
        <v>3000000</v>
      </c>
      <c r="C25" s="4">
        <v>4493000</v>
      </c>
      <c r="D25" s="4">
        <v>5312000</v>
      </c>
      <c r="E25" s="4">
        <v>5739000</v>
      </c>
      <c r="F25" s="4">
        <v>9119000</v>
      </c>
      <c r="G25" s="4">
        <v>3845000</v>
      </c>
      <c r="H25" s="4">
        <v>5208000</v>
      </c>
      <c r="I25" s="4">
        <v>5289000</v>
      </c>
      <c r="J25" s="4">
        <v>3637000</v>
      </c>
      <c r="K25" s="4">
        <v>16249000</v>
      </c>
      <c r="L25" s="4">
        <v>16369000</v>
      </c>
      <c r="M25" s="5">
        <v>21773000</v>
      </c>
      <c r="N25" s="4">
        <v>4681000</v>
      </c>
      <c r="O25" s="4">
        <v>5773000</v>
      </c>
      <c r="P25" s="4">
        <v>5242000</v>
      </c>
      <c r="Q25" s="4">
        <v>6077000</v>
      </c>
    </row>
    <row r="26" spans="1:17" ht="16" x14ac:dyDescent="0.2">
      <c r="A26" s="3" t="s">
        <v>35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5" t="s">
        <v>22</v>
      </c>
      <c r="N26" s="4" t="s">
        <v>22</v>
      </c>
      <c r="O26" s="4" t="s">
        <v>22</v>
      </c>
      <c r="P26" s="4" t="s">
        <v>22</v>
      </c>
      <c r="Q26" s="4" t="s">
        <v>22</v>
      </c>
    </row>
    <row r="27" spans="1:17" ht="16" x14ac:dyDescent="0.2">
      <c r="A27" s="3" t="s">
        <v>36</v>
      </c>
      <c r="B27" s="4">
        <v>3580000</v>
      </c>
      <c r="C27" s="4">
        <v>7530000</v>
      </c>
      <c r="D27" s="4">
        <v>8986000</v>
      </c>
      <c r="E27" s="4">
        <v>10106000</v>
      </c>
      <c r="F27" s="4">
        <v>15434000</v>
      </c>
      <c r="G27" s="4">
        <v>27304000</v>
      </c>
      <c r="H27" s="4">
        <v>21719000</v>
      </c>
      <c r="I27" s="4">
        <v>20476000</v>
      </c>
      <c r="J27" s="4">
        <v>23306000</v>
      </c>
      <c r="K27" s="4">
        <v>42658000</v>
      </c>
      <c r="L27" s="4">
        <v>52947000</v>
      </c>
      <c r="M27" s="5">
        <v>62814000</v>
      </c>
      <c r="N27" s="4">
        <v>13368000</v>
      </c>
      <c r="O27" s="4">
        <v>17596000</v>
      </c>
      <c r="P27" s="4">
        <v>15669000</v>
      </c>
      <c r="Q27" s="4">
        <v>16181000</v>
      </c>
    </row>
    <row r="28" spans="1:17" ht="16" x14ac:dyDescent="0.2">
      <c r="A28" s="3" t="s">
        <v>37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5" t="s">
        <v>22</v>
      </c>
      <c r="N28" s="4" t="s">
        <v>22</v>
      </c>
      <c r="O28" s="4" t="s">
        <v>22</v>
      </c>
      <c r="P28" s="4" t="s">
        <v>22</v>
      </c>
      <c r="Q28" s="4" t="s">
        <v>22</v>
      </c>
    </row>
    <row r="29" spans="1:17" ht="16" x14ac:dyDescent="0.2">
      <c r="A29" s="3" t="s">
        <v>38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5" t="s">
        <v>22</v>
      </c>
      <c r="N29" s="4" t="s">
        <v>22</v>
      </c>
      <c r="O29" s="4" t="s">
        <v>22</v>
      </c>
      <c r="P29" s="4" t="s">
        <v>22</v>
      </c>
      <c r="Q29" s="4" t="s">
        <v>22</v>
      </c>
    </row>
    <row r="30" spans="1:17" ht="16" x14ac:dyDescent="0.2">
      <c r="A30" s="3" t="s">
        <v>39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5" t="s">
        <v>22</v>
      </c>
      <c r="N30" s="4" t="s">
        <v>22</v>
      </c>
      <c r="O30" s="4" t="s">
        <v>22</v>
      </c>
      <c r="P30" s="4" t="s">
        <v>22</v>
      </c>
      <c r="Q30" s="4" t="s">
        <v>22</v>
      </c>
    </row>
    <row r="31" spans="1:17" ht="16" x14ac:dyDescent="0.2">
      <c r="A31" s="3" t="s">
        <v>40</v>
      </c>
      <c r="B31" s="4">
        <v>3580000</v>
      </c>
      <c r="C31" s="4">
        <v>7530000</v>
      </c>
      <c r="D31" s="4">
        <v>8986000</v>
      </c>
      <c r="E31" s="4">
        <v>10106000</v>
      </c>
      <c r="F31" s="4">
        <v>15434000</v>
      </c>
      <c r="G31" s="4">
        <v>27304000</v>
      </c>
      <c r="H31" s="4">
        <v>21719000</v>
      </c>
      <c r="I31" s="4">
        <v>20476000</v>
      </c>
      <c r="J31" s="4">
        <v>23306000</v>
      </c>
      <c r="K31" s="4">
        <v>42658000</v>
      </c>
      <c r="L31" s="4">
        <v>52947000</v>
      </c>
      <c r="M31" s="5">
        <v>62814000</v>
      </c>
      <c r="N31" s="4">
        <v>13368000</v>
      </c>
      <c r="O31" s="4">
        <v>17596000</v>
      </c>
      <c r="P31" s="4">
        <v>15669000</v>
      </c>
      <c r="Q31" s="4">
        <v>16181000</v>
      </c>
    </row>
    <row r="32" spans="1:17" ht="16" x14ac:dyDescent="0.2">
      <c r="A32" s="3" t="s">
        <v>41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5" t="s">
        <v>22</v>
      </c>
      <c r="N32" s="4" t="s">
        <v>22</v>
      </c>
      <c r="O32" s="4" t="s">
        <v>22</v>
      </c>
      <c r="P32" s="4" t="s">
        <v>22</v>
      </c>
      <c r="Q32" s="4" t="s">
        <v>22</v>
      </c>
    </row>
    <row r="33" spans="1:17" ht="16" x14ac:dyDescent="0.2">
      <c r="A33" s="100" t="s">
        <v>42</v>
      </c>
      <c r="B33" s="98">
        <v>3580000</v>
      </c>
      <c r="C33" s="98">
        <v>7530000</v>
      </c>
      <c r="D33" s="98">
        <v>8986000</v>
      </c>
      <c r="E33" s="98">
        <v>10106000</v>
      </c>
      <c r="F33" s="98">
        <v>15434000</v>
      </c>
      <c r="G33" s="98">
        <v>27304000</v>
      </c>
      <c r="H33" s="98">
        <v>21719000</v>
      </c>
      <c r="I33" s="98">
        <v>20476000</v>
      </c>
      <c r="J33" s="98">
        <v>23306000</v>
      </c>
      <c r="K33" s="98">
        <v>42658000</v>
      </c>
      <c r="L33" s="98">
        <v>52947000</v>
      </c>
      <c r="M33" s="99">
        <v>62814000</v>
      </c>
      <c r="N33" s="98">
        <v>13368000</v>
      </c>
      <c r="O33" s="98">
        <v>17596000</v>
      </c>
      <c r="P33" s="98">
        <v>15669000</v>
      </c>
      <c r="Q33" s="98">
        <v>16181000</v>
      </c>
    </row>
    <row r="34" spans="1:17" ht="16" x14ac:dyDescent="0.2">
      <c r="A34" s="23" t="s">
        <v>58</v>
      </c>
      <c r="B34" s="107">
        <v>6.94</v>
      </c>
      <c r="C34" s="107">
        <v>12.76</v>
      </c>
      <c r="D34" s="107">
        <v>13.32</v>
      </c>
      <c r="E34" s="107">
        <v>12.96</v>
      </c>
      <c r="F34" s="107">
        <v>16.89</v>
      </c>
      <c r="G34" s="107">
        <v>25.87</v>
      </c>
      <c r="H34" s="107">
        <v>14.18</v>
      </c>
      <c r="I34" s="107">
        <v>10.25</v>
      </c>
      <c r="J34" s="107">
        <v>9.3699999999999992</v>
      </c>
      <c r="K34" s="107">
        <v>15.1</v>
      </c>
      <c r="L34" s="107">
        <v>14.81</v>
      </c>
      <c r="M34" s="108">
        <v>15.19</v>
      </c>
      <c r="N34" s="107">
        <v>14.43</v>
      </c>
      <c r="O34" s="107">
        <v>16.78</v>
      </c>
      <c r="P34" s="107">
        <v>14.41</v>
      </c>
      <c r="Q34" s="107">
        <v>15.1</v>
      </c>
    </row>
    <row r="35" spans="1:17" ht="16" x14ac:dyDescent="0.2">
      <c r="A35" s="14" t="s">
        <v>193</v>
      </c>
      <c r="B35" s="15"/>
      <c r="C35" s="16">
        <f>(C33/B33)-1</f>
        <v>1.1033519553072626</v>
      </c>
      <c r="D35" s="16">
        <f>(D33/C33)-1</f>
        <v>0.19335989375830009</v>
      </c>
      <c r="E35" s="16">
        <f>(E33/D33)-1</f>
        <v>0.12463832628533278</v>
      </c>
      <c r="F35" s="16">
        <f t="shared" ref="F35:M35" si="4">(F33/E33)-1</f>
        <v>0.52721155749059956</v>
      </c>
      <c r="G35" s="16">
        <f t="shared" si="4"/>
        <v>0.76908124919009979</v>
      </c>
      <c r="H35" s="16">
        <f t="shared" si="4"/>
        <v>-0.20454878406094346</v>
      </c>
      <c r="I35" s="16">
        <f t="shared" si="4"/>
        <v>-5.7230995902205484E-2</v>
      </c>
      <c r="J35" s="16">
        <f t="shared" si="4"/>
        <v>0.13821058800546981</v>
      </c>
      <c r="K35" s="16">
        <f t="shared" si="4"/>
        <v>0.83034411739466241</v>
      </c>
      <c r="L35" s="16">
        <f t="shared" si="4"/>
        <v>0.24119743072811661</v>
      </c>
      <c r="M35" s="16">
        <f t="shared" si="4"/>
        <v>0.18635616748824302</v>
      </c>
      <c r="N35" s="16"/>
      <c r="O35" s="16">
        <f>(O33/N33)-1</f>
        <v>0.31627767803710349</v>
      </c>
      <c r="P35" s="16">
        <f>(P33/O33)-1</f>
        <v>-0.10951352580131846</v>
      </c>
      <c r="Q35" s="16">
        <f>(Q33/P33)-1</f>
        <v>3.2675984427851246E-2</v>
      </c>
    </row>
    <row r="36" spans="1:17" ht="16" x14ac:dyDescent="0.2">
      <c r="A36" s="17" t="s">
        <v>194</v>
      </c>
      <c r="B36" s="18" t="e">
        <f t="shared" ref="B36:Q36" si="5">(B16*(1-0.25))/(B126+B105+B96)</f>
        <v>#VALUE!</v>
      </c>
      <c r="C36" s="18">
        <f t="shared" si="5"/>
        <v>0.13570368929205476</v>
      </c>
      <c r="D36" s="18">
        <f t="shared" si="5"/>
        <v>0.15991950617866796</v>
      </c>
      <c r="E36" s="18" t="e">
        <f t="shared" si="5"/>
        <v>#VALUE!</v>
      </c>
      <c r="F36" s="18">
        <f t="shared" si="5"/>
        <v>0.28785041201750583</v>
      </c>
      <c r="G36" s="18">
        <f t="shared" si="5"/>
        <v>0.31978281564009448</v>
      </c>
      <c r="H36" s="18">
        <f t="shared" si="5"/>
        <v>0.33234323242546926</v>
      </c>
      <c r="I36" s="18">
        <f t="shared" si="5"/>
        <v>0.31163859482599976</v>
      </c>
      <c r="J36" s="18">
        <f t="shared" si="5"/>
        <v>0.31513546350107952</v>
      </c>
      <c r="K36" s="18">
        <f t="shared" si="5"/>
        <v>0.32464790034008578</v>
      </c>
      <c r="L36" s="18">
        <f t="shared" si="5"/>
        <v>0.21380979630975763</v>
      </c>
      <c r="M36" s="18">
        <f t="shared" si="5"/>
        <v>0.22847410853609201</v>
      </c>
      <c r="N36" s="18">
        <f t="shared" si="5"/>
        <v>5.9052059052059055E-2</v>
      </c>
      <c r="O36" s="18">
        <f t="shared" si="5"/>
        <v>6.7036825092410726E-2</v>
      </c>
      <c r="P36" s="18">
        <f t="shared" si="5"/>
        <v>5.799446234605532E-2</v>
      </c>
      <c r="Q36" s="18">
        <f t="shared" si="5"/>
        <v>5.7336877998035024E-2</v>
      </c>
    </row>
    <row r="37" spans="1:17" ht="16" x14ac:dyDescent="0.2">
      <c r="A37" s="3" t="s">
        <v>43</v>
      </c>
      <c r="B37" s="4" t="s">
        <v>22</v>
      </c>
      <c r="C37" s="4" t="s">
        <v>22</v>
      </c>
      <c r="D37" s="4" t="s">
        <v>22</v>
      </c>
      <c r="E37" s="4" t="s">
        <v>22</v>
      </c>
      <c r="F37" s="4" t="s">
        <v>22</v>
      </c>
      <c r="G37" s="4" t="s">
        <v>22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5" t="s">
        <v>22</v>
      </c>
      <c r="N37" s="4" t="s">
        <v>22</v>
      </c>
      <c r="O37" s="4" t="s">
        <v>22</v>
      </c>
      <c r="P37" s="4" t="s">
        <v>22</v>
      </c>
      <c r="Q37" s="4" t="s">
        <v>22</v>
      </c>
    </row>
    <row r="38" spans="1:17" ht="16" x14ac:dyDescent="0.2">
      <c r="A38" s="3" t="s">
        <v>44</v>
      </c>
      <c r="B38" s="4" t="s">
        <v>22</v>
      </c>
      <c r="C38" s="4" t="s">
        <v>22</v>
      </c>
      <c r="D38" s="4" t="s">
        <v>22</v>
      </c>
      <c r="E38" s="4" t="s">
        <v>22</v>
      </c>
      <c r="F38" s="4" t="s">
        <v>22</v>
      </c>
      <c r="G38" s="4" t="s">
        <v>22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5" t="s">
        <v>22</v>
      </c>
      <c r="N38" s="4" t="s">
        <v>22</v>
      </c>
      <c r="O38" s="4" t="s">
        <v>22</v>
      </c>
      <c r="P38" s="4" t="s">
        <v>22</v>
      </c>
      <c r="Q38" s="4" t="s">
        <v>22</v>
      </c>
    </row>
    <row r="39" spans="1:17" ht="16" x14ac:dyDescent="0.2">
      <c r="A39" s="3" t="s">
        <v>45</v>
      </c>
      <c r="B39" s="4">
        <v>3580000</v>
      </c>
      <c r="C39" s="4">
        <v>7530000</v>
      </c>
      <c r="D39" s="4">
        <v>8986000</v>
      </c>
      <c r="E39" s="4">
        <v>10106000</v>
      </c>
      <c r="F39" s="4">
        <v>15434000</v>
      </c>
      <c r="G39" s="4">
        <v>27304000</v>
      </c>
      <c r="H39" s="4">
        <v>21719000</v>
      </c>
      <c r="I39" s="4">
        <v>20476000</v>
      </c>
      <c r="J39" s="4">
        <v>23306000</v>
      </c>
      <c r="K39" s="4">
        <v>42658000</v>
      </c>
      <c r="L39" s="4">
        <v>52947000</v>
      </c>
      <c r="M39" s="5">
        <v>62814000</v>
      </c>
      <c r="N39" s="4">
        <v>13368000</v>
      </c>
      <c r="O39" s="4">
        <v>17596000</v>
      </c>
      <c r="P39" s="4">
        <v>15669000</v>
      </c>
      <c r="Q39" s="4">
        <v>16181000</v>
      </c>
    </row>
    <row r="40" spans="1:17" ht="16" x14ac:dyDescent="0.2">
      <c r="A40" s="3" t="s">
        <v>46</v>
      </c>
      <c r="B40" s="4">
        <v>27996000</v>
      </c>
      <c r="C40" s="4">
        <v>28440000</v>
      </c>
      <c r="D40" s="4">
        <v>28440000</v>
      </c>
      <c r="E40" s="4">
        <v>27497000</v>
      </c>
      <c r="F40" s="4">
        <v>28637000</v>
      </c>
      <c r="G40" s="4">
        <v>29025000</v>
      </c>
      <c r="H40" s="4">
        <v>29231000</v>
      </c>
      <c r="I40" s="4">
        <v>29415000</v>
      </c>
      <c r="J40" s="4">
        <v>29601000</v>
      </c>
      <c r="K40" s="4">
        <v>29769000</v>
      </c>
      <c r="L40" s="4">
        <v>29893000</v>
      </c>
      <c r="M40" s="5">
        <v>29939500</v>
      </c>
      <c r="N40" s="4">
        <v>29915000</v>
      </c>
      <c r="O40" s="4">
        <v>29924000</v>
      </c>
      <c r="P40" s="4">
        <v>29947000</v>
      </c>
      <c r="Q40" s="4">
        <v>29972000</v>
      </c>
    </row>
    <row r="41" spans="1:17" ht="16" x14ac:dyDescent="0.2">
      <c r="A41" s="3" t="s">
        <v>47</v>
      </c>
      <c r="B41" s="6">
        <v>0.13</v>
      </c>
      <c r="C41" s="6">
        <v>0.26</v>
      </c>
      <c r="D41" s="6">
        <v>0.32</v>
      </c>
      <c r="E41" s="6">
        <v>0.37</v>
      </c>
      <c r="F41" s="6">
        <v>0.54</v>
      </c>
      <c r="G41" s="6">
        <v>0.94</v>
      </c>
      <c r="H41" s="6">
        <v>0.74</v>
      </c>
      <c r="I41" s="6">
        <v>0.7</v>
      </c>
      <c r="J41" s="6">
        <v>0.79</v>
      </c>
      <c r="K41" s="6">
        <v>1.43</v>
      </c>
      <c r="L41" s="6">
        <v>1.77</v>
      </c>
      <c r="M41" s="7">
        <v>2.1</v>
      </c>
      <c r="N41" s="6">
        <v>0.45</v>
      </c>
      <c r="O41" s="6">
        <v>0.59</v>
      </c>
      <c r="P41" s="6">
        <v>0.52</v>
      </c>
      <c r="Q41" s="6">
        <v>0.54</v>
      </c>
    </row>
    <row r="42" spans="1:17" ht="16" x14ac:dyDescent="0.2">
      <c r="A42" s="3" t="s">
        <v>48</v>
      </c>
      <c r="B42" s="6">
        <v>0.13</v>
      </c>
      <c r="C42" s="6">
        <v>0.26</v>
      </c>
      <c r="D42" s="6">
        <v>0.32</v>
      </c>
      <c r="E42" s="6">
        <v>0.37</v>
      </c>
      <c r="F42" s="6">
        <v>0.54</v>
      </c>
      <c r="G42" s="6">
        <v>0.94</v>
      </c>
      <c r="H42" s="6">
        <v>0.74</v>
      </c>
      <c r="I42" s="6">
        <v>0.7</v>
      </c>
      <c r="J42" s="6">
        <v>0.79</v>
      </c>
      <c r="K42" s="6">
        <v>1.43</v>
      </c>
      <c r="L42" s="6">
        <v>1.77</v>
      </c>
      <c r="M42" s="7">
        <v>2.1</v>
      </c>
      <c r="N42" s="6">
        <v>0.45</v>
      </c>
      <c r="O42" s="6">
        <v>0.59</v>
      </c>
      <c r="P42" s="6">
        <v>0.52</v>
      </c>
      <c r="Q42" s="6">
        <v>0.54</v>
      </c>
    </row>
    <row r="43" spans="1:17" ht="16" x14ac:dyDescent="0.2">
      <c r="A43" s="3" t="s">
        <v>49</v>
      </c>
      <c r="B43" s="4">
        <v>28354000</v>
      </c>
      <c r="C43" s="4">
        <v>28757000</v>
      </c>
      <c r="D43" s="4">
        <v>28757000</v>
      </c>
      <c r="E43" s="4">
        <v>27816000</v>
      </c>
      <c r="F43" s="4">
        <v>28983000</v>
      </c>
      <c r="G43" s="4">
        <v>29424000</v>
      </c>
      <c r="H43" s="4">
        <v>29587000</v>
      </c>
      <c r="I43" s="4">
        <v>29670000</v>
      </c>
      <c r="J43" s="4">
        <v>29804000</v>
      </c>
      <c r="K43" s="4">
        <v>29944000</v>
      </c>
      <c r="L43" s="4">
        <v>29963000</v>
      </c>
      <c r="M43" s="5">
        <v>30012500</v>
      </c>
      <c r="N43" s="4">
        <v>29967000</v>
      </c>
      <c r="O43" s="4">
        <v>30003000</v>
      </c>
      <c r="P43" s="4">
        <v>30031000</v>
      </c>
      <c r="Q43" s="4">
        <v>30049000</v>
      </c>
    </row>
    <row r="44" spans="1:17" ht="16" x14ac:dyDescent="0.2">
      <c r="A44" s="3" t="s">
        <v>50</v>
      </c>
      <c r="B44" s="6">
        <v>0.13</v>
      </c>
      <c r="C44" s="6">
        <v>0.26</v>
      </c>
      <c r="D44" s="6">
        <v>0.31</v>
      </c>
      <c r="E44" s="6">
        <v>0.36</v>
      </c>
      <c r="F44" s="6">
        <v>0.53</v>
      </c>
      <c r="G44" s="6">
        <v>0.93</v>
      </c>
      <c r="H44" s="6">
        <v>0.73</v>
      </c>
      <c r="I44" s="6">
        <v>0.69</v>
      </c>
      <c r="J44" s="6">
        <v>0.78</v>
      </c>
      <c r="K44" s="6">
        <v>1.42</v>
      </c>
      <c r="L44" s="6">
        <v>1.77</v>
      </c>
      <c r="M44" s="7">
        <v>2.09</v>
      </c>
      <c r="N44" s="6">
        <v>0.45</v>
      </c>
      <c r="O44" s="6">
        <v>0.59</v>
      </c>
      <c r="P44" s="6">
        <v>0.52</v>
      </c>
      <c r="Q44" s="6">
        <v>0.54</v>
      </c>
    </row>
    <row r="45" spans="1:17" ht="16" x14ac:dyDescent="0.2">
      <c r="A45" s="3" t="s">
        <v>51</v>
      </c>
      <c r="B45" s="6">
        <v>0.13</v>
      </c>
      <c r="C45" s="6">
        <v>0.26</v>
      </c>
      <c r="D45" s="6">
        <v>0.31</v>
      </c>
      <c r="E45" s="6">
        <v>0.36</v>
      </c>
      <c r="F45" s="6">
        <v>0.53</v>
      </c>
      <c r="G45" s="6">
        <v>0.93</v>
      </c>
      <c r="H45" s="6">
        <v>0.73</v>
      </c>
      <c r="I45" s="6">
        <v>0.69</v>
      </c>
      <c r="J45" s="6">
        <v>0.78</v>
      </c>
      <c r="K45" s="6">
        <v>1.42</v>
      </c>
      <c r="L45" s="6">
        <v>1.77</v>
      </c>
      <c r="M45" s="7">
        <v>2.09</v>
      </c>
      <c r="N45" s="6">
        <v>0.45</v>
      </c>
      <c r="O45" s="6">
        <v>0.59</v>
      </c>
      <c r="P45" s="6">
        <v>0.52</v>
      </c>
      <c r="Q45" s="6">
        <v>0.54</v>
      </c>
    </row>
    <row r="46" spans="1:17" ht="16" x14ac:dyDescent="0.2">
      <c r="A46" s="3" t="s">
        <v>52</v>
      </c>
      <c r="B46" s="4">
        <v>14433000</v>
      </c>
      <c r="C46" s="4">
        <v>17910000</v>
      </c>
      <c r="D46" s="4">
        <v>20970000</v>
      </c>
      <c r="E46" s="4">
        <v>22400000</v>
      </c>
      <c r="F46" s="4">
        <v>32211000</v>
      </c>
      <c r="G46" s="4">
        <v>39656000</v>
      </c>
      <c r="H46" s="4">
        <v>42840000</v>
      </c>
      <c r="I46" s="4">
        <v>48385000</v>
      </c>
      <c r="J46" s="4">
        <v>61815000</v>
      </c>
      <c r="K46" s="4">
        <v>78202000</v>
      </c>
      <c r="L46" s="4">
        <v>103061000</v>
      </c>
      <c r="M46" s="5">
        <v>117753000</v>
      </c>
      <c r="N46" s="4">
        <v>27156000</v>
      </c>
      <c r="O46" s="4">
        <v>32185000</v>
      </c>
      <c r="P46" s="4">
        <v>28738000</v>
      </c>
      <c r="Q46" s="4">
        <v>29674000</v>
      </c>
    </row>
    <row r="47" spans="1:17" ht="16" x14ac:dyDescent="0.2">
      <c r="A47" s="3" t="s">
        <v>53</v>
      </c>
      <c r="B47" s="6">
        <v>27.98</v>
      </c>
      <c r="C47" s="6">
        <v>30.36</v>
      </c>
      <c r="D47" s="6">
        <v>31.09</v>
      </c>
      <c r="E47" s="6">
        <v>28.73</v>
      </c>
      <c r="F47" s="6">
        <v>35.26</v>
      </c>
      <c r="G47" s="6">
        <v>37.57</v>
      </c>
      <c r="H47" s="6">
        <v>27.97</v>
      </c>
      <c r="I47" s="6">
        <v>24.23</v>
      </c>
      <c r="J47" s="6">
        <v>24.84</v>
      </c>
      <c r="K47" s="6">
        <v>27.68</v>
      </c>
      <c r="L47" s="6">
        <v>28.83</v>
      </c>
      <c r="M47" s="7">
        <v>28.48</v>
      </c>
      <c r="N47" s="6">
        <v>27.27</v>
      </c>
      <c r="O47" s="6">
        <v>29.05</v>
      </c>
      <c r="P47" s="6">
        <v>29.05</v>
      </c>
      <c r="Q47" s="6">
        <v>28.48</v>
      </c>
    </row>
    <row r="48" spans="1:17" ht="16" x14ac:dyDescent="0.2">
      <c r="A48" s="3" t="s">
        <v>54</v>
      </c>
      <c r="B48" s="4">
        <v>11503000</v>
      </c>
      <c r="C48" s="4">
        <v>14880000</v>
      </c>
      <c r="D48" s="4">
        <v>18066000</v>
      </c>
      <c r="E48" s="4">
        <v>19718000</v>
      </c>
      <c r="F48" s="4">
        <v>29203000</v>
      </c>
      <c r="G48" s="4">
        <v>36280000</v>
      </c>
      <c r="H48" s="4">
        <v>38527000</v>
      </c>
      <c r="I48" s="4">
        <v>42901000</v>
      </c>
      <c r="J48" s="4">
        <v>54297000</v>
      </c>
      <c r="K48" s="4">
        <v>70259000</v>
      </c>
      <c r="L48" s="4">
        <v>92162000</v>
      </c>
      <c r="M48" s="5">
        <v>105421000</v>
      </c>
      <c r="N48" s="4">
        <v>24320000</v>
      </c>
      <c r="O48" s="4">
        <v>28896000</v>
      </c>
      <c r="P48" s="4">
        <v>25749000</v>
      </c>
      <c r="Q48" s="4">
        <v>26456000</v>
      </c>
    </row>
    <row r="49" spans="1:17" ht="16" x14ac:dyDescent="0.2">
      <c r="A49" s="3" t="s">
        <v>55</v>
      </c>
      <c r="B49" s="4">
        <v>11503000</v>
      </c>
      <c r="C49" s="4">
        <v>14880000</v>
      </c>
      <c r="D49" s="4">
        <v>18066000</v>
      </c>
      <c r="E49" s="4">
        <v>19718000</v>
      </c>
      <c r="F49" s="4">
        <v>29203000</v>
      </c>
      <c r="G49" s="4">
        <v>36280000</v>
      </c>
      <c r="H49" s="4">
        <v>38527000</v>
      </c>
      <c r="I49" s="4">
        <v>42901000</v>
      </c>
      <c r="J49" s="4">
        <v>54297000</v>
      </c>
      <c r="K49" s="4">
        <v>70259000</v>
      </c>
      <c r="L49" s="4">
        <v>92162000</v>
      </c>
      <c r="M49" s="5">
        <v>105421000</v>
      </c>
      <c r="N49" s="4">
        <v>24320000</v>
      </c>
      <c r="O49" s="4">
        <v>28896000</v>
      </c>
      <c r="P49" s="4">
        <v>25749000</v>
      </c>
      <c r="Q49" s="4">
        <v>26456000</v>
      </c>
    </row>
    <row r="50" spans="1:17" ht="16" x14ac:dyDescent="0.2">
      <c r="A50" s="3" t="s">
        <v>59</v>
      </c>
      <c r="B50" s="4" t="s">
        <v>22</v>
      </c>
      <c r="C50" s="4" t="s">
        <v>22</v>
      </c>
      <c r="D50" s="4" t="s">
        <v>22</v>
      </c>
      <c r="E50" s="4">
        <v>182171</v>
      </c>
      <c r="F50" s="4">
        <v>190729</v>
      </c>
      <c r="G50" s="4">
        <v>199155</v>
      </c>
      <c r="H50" s="4">
        <v>231741</v>
      </c>
      <c r="I50" s="4">
        <v>254689</v>
      </c>
      <c r="J50" s="4">
        <v>303799</v>
      </c>
      <c r="K50" s="4">
        <v>317418</v>
      </c>
      <c r="L50" s="4">
        <v>346771</v>
      </c>
      <c r="M50" s="5">
        <v>401002</v>
      </c>
      <c r="N50" s="4">
        <v>104126</v>
      </c>
      <c r="O50" s="4">
        <v>101714</v>
      </c>
      <c r="P50" s="4">
        <v>105452</v>
      </c>
      <c r="Q50" s="4">
        <v>103951</v>
      </c>
    </row>
    <row r="51" spans="1:17" ht="16" x14ac:dyDescent="0.2">
      <c r="A51" s="3" t="s">
        <v>60</v>
      </c>
      <c r="B51" s="6">
        <v>0.69</v>
      </c>
      <c r="C51" s="6">
        <v>1.35</v>
      </c>
      <c r="D51" s="4" t="s">
        <v>22</v>
      </c>
      <c r="E51" s="6">
        <v>1.75</v>
      </c>
      <c r="F51" s="6">
        <v>2.91</v>
      </c>
      <c r="G51" s="6">
        <v>0.14000000000000001</v>
      </c>
      <c r="H51" s="6">
        <v>6.53</v>
      </c>
      <c r="I51" s="6">
        <v>0.4</v>
      </c>
      <c r="J51" s="6">
        <v>5.53</v>
      </c>
      <c r="K51" s="6">
        <v>0.67</v>
      </c>
      <c r="L51" s="6">
        <v>4.7300000000000004</v>
      </c>
      <c r="M51" s="7">
        <v>0.78</v>
      </c>
      <c r="N51" s="6">
        <v>0.19</v>
      </c>
      <c r="O51" s="6">
        <v>0.19</v>
      </c>
      <c r="P51" s="6">
        <v>0.2</v>
      </c>
      <c r="Q51" s="6">
        <v>0.19</v>
      </c>
    </row>
    <row r="52" spans="1:17" ht="16" x14ac:dyDescent="0.2">
      <c r="A52" s="3" t="s">
        <v>61</v>
      </c>
      <c r="B52" s="4">
        <v>2930000</v>
      </c>
      <c r="C52" s="4">
        <v>3030000</v>
      </c>
      <c r="D52" s="4">
        <v>2904000</v>
      </c>
      <c r="E52" s="4">
        <v>2682000</v>
      </c>
      <c r="F52" s="4">
        <v>3008000</v>
      </c>
      <c r="G52" s="4">
        <v>3376000</v>
      </c>
      <c r="H52" s="4">
        <v>4313000</v>
      </c>
      <c r="I52" s="4">
        <v>5484000</v>
      </c>
      <c r="J52" s="4">
        <v>7518000</v>
      </c>
      <c r="K52" s="4">
        <v>7943000</v>
      </c>
      <c r="L52" s="4">
        <v>10899000</v>
      </c>
      <c r="M52" s="5">
        <v>12332000</v>
      </c>
      <c r="N52" s="4">
        <v>2836000</v>
      </c>
      <c r="O52" s="4">
        <v>3289000</v>
      </c>
      <c r="P52" s="4">
        <v>2989000</v>
      </c>
      <c r="Q52" s="4">
        <v>3218000</v>
      </c>
    </row>
    <row r="54" spans="1:17" ht="16" x14ac:dyDescent="0.2">
      <c r="A54" s="2" t="s">
        <v>22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</row>
    <row r="55" spans="1:17" ht="16" x14ac:dyDescent="0.2">
      <c r="A55" s="3" t="s">
        <v>62</v>
      </c>
      <c r="B55" s="4" t="s">
        <v>22</v>
      </c>
      <c r="C55" s="4">
        <v>8550000</v>
      </c>
      <c r="D55" s="4">
        <v>18121000</v>
      </c>
      <c r="E55" s="4">
        <v>19620000</v>
      </c>
      <c r="F55" s="4">
        <v>11116000</v>
      </c>
      <c r="G55" s="4">
        <v>15908000</v>
      </c>
      <c r="H55" s="4">
        <v>29906000</v>
      </c>
      <c r="I55" s="4">
        <v>30190000</v>
      </c>
      <c r="J55" s="4">
        <v>72620000</v>
      </c>
      <c r="K55" s="4">
        <v>70149000</v>
      </c>
      <c r="L55" s="4">
        <v>226672000</v>
      </c>
      <c r="M55" s="5">
        <v>238183000</v>
      </c>
      <c r="N55" s="4">
        <v>223091000</v>
      </c>
      <c r="O55" s="4">
        <v>226672000</v>
      </c>
      <c r="P55" s="4">
        <v>249402000</v>
      </c>
      <c r="Q55" s="4">
        <v>238183000</v>
      </c>
    </row>
    <row r="56" spans="1:17" ht="16" x14ac:dyDescent="0.2">
      <c r="A56" s="3" t="s">
        <v>63</v>
      </c>
      <c r="B56" s="4" t="s">
        <v>22</v>
      </c>
      <c r="C56" s="4">
        <v>3173000</v>
      </c>
      <c r="D56" s="4">
        <v>9723000</v>
      </c>
      <c r="E56" s="4">
        <v>10690000</v>
      </c>
      <c r="F56" s="4">
        <v>3750000</v>
      </c>
      <c r="G56" s="4">
        <v>4063000</v>
      </c>
      <c r="H56" s="4">
        <v>12493000</v>
      </c>
      <c r="I56" s="4">
        <v>12849000</v>
      </c>
      <c r="J56" s="4">
        <v>40858000</v>
      </c>
      <c r="K56" s="4">
        <v>48583000</v>
      </c>
      <c r="L56" s="4">
        <v>184496000</v>
      </c>
      <c r="M56" s="5">
        <v>188500000</v>
      </c>
      <c r="N56" s="4">
        <v>173511000</v>
      </c>
      <c r="O56" s="4">
        <v>184496000</v>
      </c>
      <c r="P56" s="4">
        <v>196198000</v>
      </c>
      <c r="Q56" s="4">
        <v>188500000</v>
      </c>
    </row>
    <row r="57" spans="1:17" ht="16" x14ac:dyDescent="0.2">
      <c r="A57" s="3" t="s">
        <v>64</v>
      </c>
      <c r="B57" s="4" t="s">
        <v>22</v>
      </c>
      <c r="C57" s="4">
        <v>3173000</v>
      </c>
      <c r="D57" s="4">
        <v>9723000</v>
      </c>
      <c r="E57" s="4">
        <v>10690000</v>
      </c>
      <c r="F57" s="4">
        <v>3750000</v>
      </c>
      <c r="G57" s="4">
        <v>4063000</v>
      </c>
      <c r="H57" s="4">
        <v>12493000</v>
      </c>
      <c r="I57" s="4">
        <v>12849000</v>
      </c>
      <c r="J57" s="4">
        <v>40858000</v>
      </c>
      <c r="K57" s="4">
        <v>48583000</v>
      </c>
      <c r="L57" s="4">
        <v>184496000</v>
      </c>
      <c r="M57" s="5">
        <v>188500000</v>
      </c>
      <c r="N57" s="4">
        <v>173511000</v>
      </c>
      <c r="O57" s="4">
        <v>184496000</v>
      </c>
      <c r="P57" s="4">
        <v>196198000</v>
      </c>
      <c r="Q57" s="4">
        <v>188500000</v>
      </c>
    </row>
    <row r="58" spans="1:17" ht="16" x14ac:dyDescent="0.2">
      <c r="A58" s="3" t="s">
        <v>65</v>
      </c>
      <c r="B58" s="4" t="s">
        <v>22</v>
      </c>
      <c r="C58" s="4" t="s">
        <v>22</v>
      </c>
      <c r="D58" s="4" t="s">
        <v>22</v>
      </c>
      <c r="E58" s="4" t="s">
        <v>22</v>
      </c>
      <c r="F58" s="4" t="s">
        <v>22</v>
      </c>
      <c r="G58" s="4" t="s">
        <v>22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5" t="s">
        <v>22</v>
      </c>
      <c r="N58" s="4" t="s">
        <v>22</v>
      </c>
      <c r="O58" s="4" t="s">
        <v>22</v>
      </c>
      <c r="P58" s="4" t="s">
        <v>22</v>
      </c>
      <c r="Q58" s="4" t="s">
        <v>22</v>
      </c>
    </row>
    <row r="59" spans="1:17" ht="16" x14ac:dyDescent="0.2">
      <c r="A59" s="3" t="s">
        <v>66</v>
      </c>
      <c r="B59" s="4" t="s">
        <v>22</v>
      </c>
      <c r="C59" s="4">
        <v>1764000</v>
      </c>
      <c r="D59" s="4">
        <v>2380000</v>
      </c>
      <c r="E59" s="4">
        <v>3404000</v>
      </c>
      <c r="F59" s="4">
        <v>3199000</v>
      </c>
      <c r="G59" s="4">
        <v>4567000</v>
      </c>
      <c r="H59" s="4">
        <v>5764000</v>
      </c>
      <c r="I59" s="4">
        <v>5842000</v>
      </c>
      <c r="J59" s="4">
        <v>4929000</v>
      </c>
      <c r="K59" s="4">
        <v>6993000</v>
      </c>
      <c r="L59" s="4">
        <v>9461000</v>
      </c>
      <c r="M59" s="5">
        <v>10747000</v>
      </c>
      <c r="N59" s="4">
        <v>8829000</v>
      </c>
      <c r="O59" s="4">
        <v>9461000</v>
      </c>
      <c r="P59" s="4">
        <v>10137000</v>
      </c>
      <c r="Q59" s="4">
        <v>10747000</v>
      </c>
    </row>
    <row r="60" spans="1:17" ht="16" x14ac:dyDescent="0.2">
      <c r="A60" s="3" t="s">
        <v>67</v>
      </c>
      <c r="B60" s="4" t="s">
        <v>22</v>
      </c>
      <c r="C60" s="4">
        <v>1579000</v>
      </c>
      <c r="D60" s="4">
        <v>2168000</v>
      </c>
      <c r="E60" s="4">
        <v>3404000</v>
      </c>
      <c r="F60" s="4">
        <v>3199000</v>
      </c>
      <c r="G60" s="4">
        <v>4567000</v>
      </c>
      <c r="H60" s="4">
        <v>5764000</v>
      </c>
      <c r="I60" s="4">
        <v>4400000</v>
      </c>
      <c r="J60" s="4">
        <v>4929000</v>
      </c>
      <c r="K60" s="4">
        <v>6993000</v>
      </c>
      <c r="L60" s="4">
        <v>9461000</v>
      </c>
      <c r="M60" s="5">
        <v>10747000</v>
      </c>
      <c r="N60" s="4">
        <v>8829000</v>
      </c>
      <c r="O60" s="4">
        <v>9461000</v>
      </c>
      <c r="P60" s="4">
        <v>10137000</v>
      </c>
      <c r="Q60" s="4">
        <v>10747000</v>
      </c>
    </row>
    <row r="61" spans="1:17" ht="16" x14ac:dyDescent="0.2">
      <c r="A61" s="3" t="s">
        <v>68</v>
      </c>
      <c r="B61" s="4" t="s">
        <v>22</v>
      </c>
      <c r="C61" s="4" t="s">
        <v>22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5" t="s">
        <v>22</v>
      </c>
      <c r="N61" s="4" t="s">
        <v>22</v>
      </c>
      <c r="O61" s="4" t="s">
        <v>22</v>
      </c>
      <c r="P61" s="4" t="s">
        <v>22</v>
      </c>
      <c r="Q61" s="4" t="s">
        <v>22</v>
      </c>
    </row>
    <row r="62" spans="1:17" ht="16" x14ac:dyDescent="0.2">
      <c r="A62" s="3" t="s">
        <v>69</v>
      </c>
      <c r="B62" s="4" t="s">
        <v>22</v>
      </c>
      <c r="C62" s="4" t="s">
        <v>22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5" t="s">
        <v>22</v>
      </c>
      <c r="N62" s="4" t="s">
        <v>22</v>
      </c>
      <c r="O62" s="4" t="s">
        <v>22</v>
      </c>
      <c r="P62" s="4" t="s">
        <v>22</v>
      </c>
      <c r="Q62" s="4" t="s">
        <v>22</v>
      </c>
    </row>
    <row r="63" spans="1:17" ht="16" x14ac:dyDescent="0.2">
      <c r="A63" s="3" t="s">
        <v>70</v>
      </c>
      <c r="B63" s="4" t="s">
        <v>22</v>
      </c>
      <c r="C63" s="4">
        <v>185000</v>
      </c>
      <c r="D63" s="4">
        <v>212000</v>
      </c>
      <c r="E63" s="4" t="s">
        <v>22</v>
      </c>
      <c r="F63" s="4" t="s">
        <v>22</v>
      </c>
      <c r="G63" s="4" t="s">
        <v>22</v>
      </c>
      <c r="H63" s="4" t="s">
        <v>22</v>
      </c>
      <c r="I63" s="4">
        <v>1442000</v>
      </c>
      <c r="J63" s="4" t="s">
        <v>22</v>
      </c>
      <c r="K63" s="4" t="s">
        <v>22</v>
      </c>
      <c r="L63" s="4" t="s">
        <v>22</v>
      </c>
      <c r="M63" s="5" t="s">
        <v>22</v>
      </c>
      <c r="N63" s="4" t="s">
        <v>22</v>
      </c>
      <c r="O63" s="4" t="s">
        <v>22</v>
      </c>
      <c r="P63" s="4" t="s">
        <v>22</v>
      </c>
      <c r="Q63" s="4" t="s">
        <v>22</v>
      </c>
    </row>
    <row r="64" spans="1:17" ht="16" x14ac:dyDescent="0.2">
      <c r="A64" s="3" t="s">
        <v>71</v>
      </c>
      <c r="B64" s="4" t="s">
        <v>22</v>
      </c>
      <c r="C64" s="4">
        <v>193000</v>
      </c>
      <c r="D64" s="4">
        <v>176000</v>
      </c>
      <c r="E64" s="4">
        <v>182000</v>
      </c>
      <c r="F64" s="4">
        <v>226000</v>
      </c>
      <c r="G64" s="4">
        <v>216000</v>
      </c>
      <c r="H64" s="4">
        <v>299000</v>
      </c>
      <c r="I64" s="4">
        <v>315000</v>
      </c>
      <c r="J64" s="4">
        <v>396000</v>
      </c>
      <c r="K64" s="4">
        <v>484000</v>
      </c>
      <c r="L64" s="4">
        <v>389000</v>
      </c>
      <c r="M64" s="5" t="s">
        <v>22</v>
      </c>
      <c r="N64" s="4" t="s">
        <v>22</v>
      </c>
      <c r="O64" s="4">
        <v>389000</v>
      </c>
      <c r="P64" s="4" t="s">
        <v>22</v>
      </c>
      <c r="Q64" s="4" t="s">
        <v>22</v>
      </c>
    </row>
    <row r="65" spans="1:17" ht="16" x14ac:dyDescent="0.2">
      <c r="A65" s="3" t="s">
        <v>72</v>
      </c>
      <c r="B65" s="4" t="s">
        <v>22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5" t="s">
        <v>22</v>
      </c>
      <c r="N65" s="4" t="s">
        <v>22</v>
      </c>
      <c r="O65" s="4" t="s">
        <v>22</v>
      </c>
      <c r="P65" s="4" t="s">
        <v>22</v>
      </c>
      <c r="Q65" s="4" t="s">
        <v>22</v>
      </c>
    </row>
    <row r="66" spans="1:17" ht="16" x14ac:dyDescent="0.2">
      <c r="A66" s="3" t="s">
        <v>73</v>
      </c>
      <c r="B66" s="4" t="s">
        <v>22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5" t="s">
        <v>22</v>
      </c>
      <c r="N66" s="4" t="s">
        <v>22</v>
      </c>
      <c r="O66" s="4" t="s">
        <v>22</v>
      </c>
      <c r="P66" s="4" t="s">
        <v>22</v>
      </c>
      <c r="Q66" s="4" t="s">
        <v>22</v>
      </c>
    </row>
    <row r="67" spans="1:17" ht="16" x14ac:dyDescent="0.2">
      <c r="A67" s="3" t="s">
        <v>74</v>
      </c>
      <c r="B67" s="4" t="s">
        <v>22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5" t="s">
        <v>22</v>
      </c>
      <c r="N67" s="4" t="s">
        <v>22</v>
      </c>
      <c r="O67" s="4" t="s">
        <v>22</v>
      </c>
      <c r="P67" s="4" t="s">
        <v>22</v>
      </c>
      <c r="Q67" s="4" t="s">
        <v>22</v>
      </c>
    </row>
    <row r="68" spans="1:17" ht="16" x14ac:dyDescent="0.2">
      <c r="A68" s="3" t="s">
        <v>75</v>
      </c>
      <c r="B68" s="4" t="s">
        <v>22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5" t="s">
        <v>22</v>
      </c>
      <c r="N68" s="4" t="s">
        <v>22</v>
      </c>
      <c r="O68" s="4" t="s">
        <v>22</v>
      </c>
      <c r="P68" s="4" t="s">
        <v>22</v>
      </c>
      <c r="Q68" s="4" t="s">
        <v>22</v>
      </c>
    </row>
    <row r="69" spans="1:17" ht="16" x14ac:dyDescent="0.2">
      <c r="A69" s="3" t="s">
        <v>76</v>
      </c>
      <c r="B69" s="4" t="s">
        <v>22</v>
      </c>
      <c r="C69" s="4">
        <v>193000</v>
      </c>
      <c r="D69" s="4">
        <v>176000</v>
      </c>
      <c r="E69" s="4">
        <v>182000</v>
      </c>
      <c r="F69" s="4">
        <v>226000</v>
      </c>
      <c r="G69" s="4">
        <v>216000</v>
      </c>
      <c r="H69" s="4">
        <v>299000</v>
      </c>
      <c r="I69" s="4">
        <v>315000</v>
      </c>
      <c r="J69" s="4">
        <v>396000</v>
      </c>
      <c r="K69" s="4">
        <v>484000</v>
      </c>
      <c r="L69" s="4">
        <v>389000</v>
      </c>
      <c r="M69" s="5" t="s">
        <v>22</v>
      </c>
      <c r="N69" s="4" t="s">
        <v>22</v>
      </c>
      <c r="O69" s="4">
        <v>389000</v>
      </c>
      <c r="P69" s="4" t="s">
        <v>22</v>
      </c>
      <c r="Q69" s="4" t="s">
        <v>22</v>
      </c>
    </row>
    <row r="70" spans="1:17" ht="16" x14ac:dyDescent="0.2">
      <c r="A70" s="3" t="s">
        <v>77</v>
      </c>
      <c r="B70" s="4" t="s">
        <v>22</v>
      </c>
      <c r="C70" s="4">
        <v>3420000</v>
      </c>
      <c r="D70" s="4">
        <v>5842000</v>
      </c>
      <c r="E70" s="4">
        <v>5344000</v>
      </c>
      <c r="F70" s="4">
        <v>3941000</v>
      </c>
      <c r="G70" s="4">
        <v>7062000</v>
      </c>
      <c r="H70" s="4">
        <v>11350000</v>
      </c>
      <c r="I70" s="4">
        <v>11184000</v>
      </c>
      <c r="J70" s="4">
        <v>26437000</v>
      </c>
      <c r="K70" s="4">
        <v>14089000</v>
      </c>
      <c r="L70" s="4">
        <v>32326000</v>
      </c>
      <c r="M70" s="5">
        <v>38936000</v>
      </c>
      <c r="N70" s="4">
        <v>40751000</v>
      </c>
      <c r="O70" s="4">
        <v>32326000</v>
      </c>
      <c r="P70" s="4">
        <v>43067000</v>
      </c>
      <c r="Q70" s="4">
        <v>38936000</v>
      </c>
    </row>
    <row r="71" spans="1:17" ht="16" x14ac:dyDescent="0.2">
      <c r="A71" s="3" t="s">
        <v>78</v>
      </c>
      <c r="B71" s="4" t="s">
        <v>22</v>
      </c>
      <c r="C71" s="4" t="s">
        <v>22</v>
      </c>
      <c r="D71" s="4" t="s">
        <v>22</v>
      </c>
      <c r="E71" s="4" t="s">
        <v>22</v>
      </c>
      <c r="F71" s="4" t="s">
        <v>22</v>
      </c>
      <c r="G71" s="4" t="s">
        <v>22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5" t="s">
        <v>22</v>
      </c>
      <c r="N71" s="4" t="s">
        <v>22</v>
      </c>
      <c r="O71" s="4" t="s">
        <v>22</v>
      </c>
      <c r="P71" s="4" t="s">
        <v>22</v>
      </c>
      <c r="Q71" s="4" t="s">
        <v>22</v>
      </c>
    </row>
    <row r="72" spans="1:17" ht="16" x14ac:dyDescent="0.2">
      <c r="A72" s="3" t="s">
        <v>79</v>
      </c>
      <c r="B72" s="4" t="s">
        <v>22</v>
      </c>
      <c r="C72" s="4" t="s">
        <v>22</v>
      </c>
      <c r="D72" s="4" t="s">
        <v>22</v>
      </c>
      <c r="E72" s="4" t="s">
        <v>22</v>
      </c>
      <c r="F72" s="4" t="s">
        <v>22</v>
      </c>
      <c r="G72" s="4" t="s">
        <v>22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5" t="s">
        <v>22</v>
      </c>
      <c r="N72" s="4" t="s">
        <v>22</v>
      </c>
      <c r="O72" s="4" t="s">
        <v>22</v>
      </c>
      <c r="P72" s="4" t="s">
        <v>22</v>
      </c>
      <c r="Q72" s="4" t="s">
        <v>22</v>
      </c>
    </row>
    <row r="73" spans="1:17" ht="16" x14ac:dyDescent="0.2">
      <c r="A73" s="3" t="s">
        <v>80</v>
      </c>
      <c r="B73" s="4" t="s">
        <v>22</v>
      </c>
      <c r="C73" s="4" t="s">
        <v>22</v>
      </c>
      <c r="D73" s="4" t="s">
        <v>22</v>
      </c>
      <c r="E73" s="4" t="s">
        <v>22</v>
      </c>
      <c r="F73" s="4" t="s">
        <v>22</v>
      </c>
      <c r="G73" s="4" t="s">
        <v>22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5" t="s">
        <v>22</v>
      </c>
      <c r="N73" s="4" t="s">
        <v>22</v>
      </c>
      <c r="O73" s="4" t="s">
        <v>22</v>
      </c>
      <c r="P73" s="4" t="s">
        <v>22</v>
      </c>
      <c r="Q73" s="4" t="s">
        <v>22</v>
      </c>
    </row>
    <row r="74" spans="1:17" ht="16" x14ac:dyDescent="0.2">
      <c r="A74" s="3" t="s">
        <v>81</v>
      </c>
      <c r="B74" s="4" t="s">
        <v>22</v>
      </c>
      <c r="C74" s="4" t="s">
        <v>22</v>
      </c>
      <c r="D74" s="4" t="s">
        <v>22</v>
      </c>
      <c r="E74" s="4" t="s">
        <v>22</v>
      </c>
      <c r="F74" s="4" t="s">
        <v>22</v>
      </c>
      <c r="G74" s="4" t="s">
        <v>22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5" t="s">
        <v>22</v>
      </c>
      <c r="N74" s="4" t="s">
        <v>22</v>
      </c>
      <c r="O74" s="4" t="s">
        <v>22</v>
      </c>
      <c r="P74" s="4" t="s">
        <v>22</v>
      </c>
      <c r="Q74" s="4" t="s">
        <v>22</v>
      </c>
    </row>
    <row r="75" spans="1:17" ht="16" x14ac:dyDescent="0.2">
      <c r="A75" s="3" t="s">
        <v>82</v>
      </c>
      <c r="B75" s="4" t="s">
        <v>22</v>
      </c>
      <c r="C75" s="4" t="s">
        <v>22</v>
      </c>
      <c r="D75" s="4" t="s">
        <v>22</v>
      </c>
      <c r="E75" s="4" t="s">
        <v>22</v>
      </c>
      <c r="F75" s="4" t="s">
        <v>22</v>
      </c>
      <c r="G75" s="4" t="s">
        <v>22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5" t="s">
        <v>22</v>
      </c>
      <c r="N75" s="4" t="s">
        <v>22</v>
      </c>
      <c r="O75" s="4" t="s">
        <v>22</v>
      </c>
      <c r="P75" s="4" t="s">
        <v>22</v>
      </c>
      <c r="Q75" s="4" t="s">
        <v>22</v>
      </c>
    </row>
    <row r="76" spans="1:17" ht="16" x14ac:dyDescent="0.2">
      <c r="A76" s="3" t="s">
        <v>83</v>
      </c>
      <c r="B76" s="4" t="s">
        <v>22</v>
      </c>
      <c r="C76" s="4">
        <v>104901000</v>
      </c>
      <c r="D76" s="4">
        <v>102115000</v>
      </c>
      <c r="E76" s="4">
        <v>101522000</v>
      </c>
      <c r="F76" s="4">
        <v>100684000</v>
      </c>
      <c r="G76" s="4">
        <v>103928000</v>
      </c>
      <c r="H76" s="4">
        <v>109843000</v>
      </c>
      <c r="I76" s="4">
        <v>135923000</v>
      </c>
      <c r="J76" s="4">
        <v>138945000</v>
      </c>
      <c r="K76" s="4">
        <v>179054000</v>
      </c>
      <c r="L76" s="4">
        <v>197518000</v>
      </c>
      <c r="M76" s="5">
        <v>213034000</v>
      </c>
      <c r="N76" s="4">
        <v>187945000</v>
      </c>
      <c r="O76" s="4">
        <v>197518000</v>
      </c>
      <c r="P76" s="4">
        <v>201895000</v>
      </c>
      <c r="Q76" s="4">
        <v>213034000</v>
      </c>
    </row>
    <row r="77" spans="1:17" ht="16" x14ac:dyDescent="0.2">
      <c r="A77" s="3" t="s">
        <v>84</v>
      </c>
      <c r="B77" s="4" t="s">
        <v>22</v>
      </c>
      <c r="C77" s="4">
        <v>4299000</v>
      </c>
      <c r="D77" s="4">
        <v>3622000</v>
      </c>
      <c r="E77" s="4">
        <v>4593000</v>
      </c>
      <c r="F77" s="4">
        <v>4999000</v>
      </c>
      <c r="G77" s="4">
        <v>5826000</v>
      </c>
      <c r="H77" s="4">
        <v>8338000</v>
      </c>
      <c r="I77" s="4">
        <v>27842000</v>
      </c>
      <c r="J77" s="4">
        <v>27948000</v>
      </c>
      <c r="K77" s="4">
        <v>54503000</v>
      </c>
      <c r="L77" s="4">
        <v>66851000</v>
      </c>
      <c r="M77" s="5">
        <v>78570000</v>
      </c>
      <c r="N77" s="4">
        <v>63236000</v>
      </c>
      <c r="O77" s="4">
        <v>66851000</v>
      </c>
      <c r="P77" s="4">
        <v>71518000</v>
      </c>
      <c r="Q77" s="4">
        <v>78570000</v>
      </c>
    </row>
    <row r="78" spans="1:17" ht="16" x14ac:dyDescent="0.2">
      <c r="A78" s="3" t="s">
        <v>85</v>
      </c>
      <c r="B78" s="4" t="s">
        <v>22</v>
      </c>
      <c r="C78" s="4">
        <v>12018000</v>
      </c>
      <c r="D78" s="4">
        <v>10951000</v>
      </c>
      <c r="E78" s="4">
        <v>12714000</v>
      </c>
      <c r="F78" s="4">
        <v>13964000</v>
      </c>
      <c r="G78" s="4">
        <v>16486000</v>
      </c>
      <c r="H78" s="4">
        <v>21083000</v>
      </c>
      <c r="I78" s="4">
        <v>43605000</v>
      </c>
      <c r="J78" s="4">
        <v>45595000</v>
      </c>
      <c r="K78" s="4">
        <v>77307000</v>
      </c>
      <c r="L78" s="4">
        <v>98306000</v>
      </c>
      <c r="M78" s="5">
        <v>78570000</v>
      </c>
      <c r="N78" s="4">
        <v>63236000</v>
      </c>
      <c r="O78" s="4">
        <v>98306000</v>
      </c>
      <c r="P78" s="4">
        <v>71518000</v>
      </c>
      <c r="Q78" s="4">
        <v>78570000</v>
      </c>
    </row>
    <row r="79" spans="1:17" ht="16" x14ac:dyDescent="0.2">
      <c r="A79" s="3" t="s">
        <v>86</v>
      </c>
      <c r="B79" s="4" t="s">
        <v>22</v>
      </c>
      <c r="C79" s="4">
        <v>7719000</v>
      </c>
      <c r="D79" s="4">
        <v>7329000</v>
      </c>
      <c r="E79" s="4">
        <v>8121000</v>
      </c>
      <c r="F79" s="4">
        <v>8965000</v>
      </c>
      <c r="G79" s="4">
        <v>10660000</v>
      </c>
      <c r="H79" s="4">
        <v>12745000</v>
      </c>
      <c r="I79" s="4">
        <v>15763000</v>
      </c>
      <c r="J79" s="4">
        <v>17647000</v>
      </c>
      <c r="K79" s="4">
        <v>22804000</v>
      </c>
      <c r="L79" s="4">
        <v>31455000</v>
      </c>
      <c r="M79" s="5" t="s">
        <v>22</v>
      </c>
      <c r="N79" s="4" t="s">
        <v>22</v>
      </c>
      <c r="O79" s="4">
        <v>31455000</v>
      </c>
      <c r="P79" s="4" t="s">
        <v>22</v>
      </c>
      <c r="Q79" s="4" t="s">
        <v>22</v>
      </c>
    </row>
    <row r="80" spans="1:17" ht="16" x14ac:dyDescent="0.2">
      <c r="A80" s="3" t="s">
        <v>87</v>
      </c>
      <c r="B80" s="4" t="s">
        <v>22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5" t="s">
        <v>22</v>
      </c>
      <c r="N80" s="4" t="s">
        <v>22</v>
      </c>
      <c r="O80" s="4" t="s">
        <v>22</v>
      </c>
      <c r="P80" s="4" t="s">
        <v>22</v>
      </c>
      <c r="Q80" s="4" t="s">
        <v>22</v>
      </c>
    </row>
    <row r="81" spans="1:17" ht="16" x14ac:dyDescent="0.2">
      <c r="A81" s="3" t="s">
        <v>88</v>
      </c>
      <c r="B81" s="4" t="s">
        <v>22</v>
      </c>
      <c r="C81" s="4" t="s">
        <v>22</v>
      </c>
      <c r="D81" s="4" t="s">
        <v>22</v>
      </c>
      <c r="E81" s="4" t="s">
        <v>22</v>
      </c>
      <c r="F81" s="4" t="s">
        <v>22</v>
      </c>
      <c r="G81" s="4" t="s">
        <v>22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5" t="s">
        <v>22</v>
      </c>
      <c r="N81" s="4" t="s">
        <v>22</v>
      </c>
      <c r="O81" s="4" t="s">
        <v>22</v>
      </c>
      <c r="P81" s="4" t="s">
        <v>22</v>
      </c>
      <c r="Q81" s="4" t="s">
        <v>22</v>
      </c>
    </row>
    <row r="82" spans="1:17" ht="16" x14ac:dyDescent="0.2">
      <c r="A82" s="3" t="s">
        <v>89</v>
      </c>
      <c r="B82" s="4" t="s">
        <v>22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5" t="s">
        <v>22</v>
      </c>
      <c r="N82" s="4" t="s">
        <v>22</v>
      </c>
      <c r="O82" s="4" t="s">
        <v>22</v>
      </c>
      <c r="P82" s="4" t="s">
        <v>22</v>
      </c>
      <c r="Q82" s="4" t="s">
        <v>22</v>
      </c>
    </row>
    <row r="83" spans="1:17" ht="16" x14ac:dyDescent="0.2">
      <c r="A83" s="3" t="s">
        <v>90</v>
      </c>
      <c r="B83" s="4" t="s">
        <v>22</v>
      </c>
      <c r="C83" s="4">
        <v>100602000</v>
      </c>
      <c r="D83" s="4">
        <v>98493000</v>
      </c>
      <c r="E83" s="4">
        <v>96929000</v>
      </c>
      <c r="F83" s="4">
        <v>95685000</v>
      </c>
      <c r="G83" s="4">
        <v>98102000</v>
      </c>
      <c r="H83" s="4">
        <v>101505000</v>
      </c>
      <c r="I83" s="4">
        <v>108081000</v>
      </c>
      <c r="J83" s="4">
        <v>110997000</v>
      </c>
      <c r="K83" s="4">
        <v>124551000</v>
      </c>
      <c r="L83" s="4">
        <v>130667000</v>
      </c>
      <c r="M83" s="5">
        <v>134464000</v>
      </c>
      <c r="N83" s="4">
        <v>124709000</v>
      </c>
      <c r="O83" s="4">
        <v>130667000</v>
      </c>
      <c r="P83" s="4">
        <v>130377000</v>
      </c>
      <c r="Q83" s="4">
        <v>134464000</v>
      </c>
    </row>
    <row r="84" spans="1:17" ht="16" x14ac:dyDescent="0.2">
      <c r="A84" s="3" t="s">
        <v>91</v>
      </c>
      <c r="B84" s="4" t="s">
        <v>22</v>
      </c>
      <c r="C84" s="4">
        <v>99322000</v>
      </c>
      <c r="D84" s="4">
        <v>97496000</v>
      </c>
      <c r="E84" s="4">
        <v>96124000</v>
      </c>
      <c r="F84" s="4">
        <v>94742000</v>
      </c>
      <c r="G84" s="4">
        <v>94824000</v>
      </c>
      <c r="H84" s="4">
        <v>96588000</v>
      </c>
      <c r="I84" s="4">
        <v>95798000</v>
      </c>
      <c r="J84" s="4">
        <v>97990000</v>
      </c>
      <c r="K84" s="4">
        <v>99879000</v>
      </c>
      <c r="L84" s="4">
        <v>104229000</v>
      </c>
      <c r="M84" s="5">
        <v>106253000</v>
      </c>
      <c r="N84" s="4">
        <v>100609000</v>
      </c>
      <c r="O84" s="4">
        <v>104229000</v>
      </c>
      <c r="P84" s="4">
        <v>103910000</v>
      </c>
      <c r="Q84" s="4">
        <v>106253000</v>
      </c>
    </row>
    <row r="85" spans="1:17" ht="16" x14ac:dyDescent="0.2">
      <c r="A85" s="3" t="s">
        <v>92</v>
      </c>
      <c r="B85" s="4" t="s">
        <v>22</v>
      </c>
      <c r="C85" s="4">
        <v>45570000</v>
      </c>
      <c r="D85" s="4">
        <v>45128000</v>
      </c>
      <c r="E85" s="4">
        <v>45128000</v>
      </c>
      <c r="F85" s="4">
        <v>45128000</v>
      </c>
      <c r="G85" s="4">
        <v>46557000</v>
      </c>
      <c r="H85" s="4">
        <v>49655000</v>
      </c>
      <c r="I85" s="4">
        <v>50188000</v>
      </c>
      <c r="J85" s="4">
        <v>53690000</v>
      </c>
      <c r="K85" s="4">
        <v>56877000</v>
      </c>
      <c r="L85" s="4">
        <v>62514000</v>
      </c>
      <c r="M85" s="5">
        <v>65175000</v>
      </c>
      <c r="N85" s="4">
        <v>58570000</v>
      </c>
      <c r="O85" s="4">
        <v>62514000</v>
      </c>
      <c r="P85" s="4">
        <v>62514000</v>
      </c>
      <c r="Q85" s="4">
        <v>65175000</v>
      </c>
    </row>
    <row r="86" spans="1:17" ht="16" x14ac:dyDescent="0.2">
      <c r="A86" s="3" t="s">
        <v>93</v>
      </c>
      <c r="B86" s="4" t="s">
        <v>22</v>
      </c>
      <c r="C86" s="4">
        <v>53752000</v>
      </c>
      <c r="D86" s="4">
        <v>52368000</v>
      </c>
      <c r="E86" s="4">
        <v>50996000</v>
      </c>
      <c r="F86" s="4">
        <v>49614000</v>
      </c>
      <c r="G86" s="4">
        <v>48267000</v>
      </c>
      <c r="H86" s="4">
        <v>46933000</v>
      </c>
      <c r="I86" s="4">
        <v>45610000</v>
      </c>
      <c r="J86" s="4">
        <v>44300000</v>
      </c>
      <c r="K86" s="4">
        <v>43002000</v>
      </c>
      <c r="L86" s="4">
        <v>41715000</v>
      </c>
      <c r="M86" s="5">
        <v>41078000</v>
      </c>
      <c r="N86" s="4">
        <v>42039000</v>
      </c>
      <c r="O86" s="4">
        <v>41715000</v>
      </c>
      <c r="P86" s="4">
        <v>41396000</v>
      </c>
      <c r="Q86" s="4">
        <v>41078000</v>
      </c>
    </row>
    <row r="87" spans="1:17" ht="16" x14ac:dyDescent="0.2">
      <c r="A87" s="3" t="s">
        <v>94</v>
      </c>
      <c r="B87" s="4" t="s">
        <v>22</v>
      </c>
      <c r="C87" s="4" t="s">
        <v>22</v>
      </c>
      <c r="D87" s="4" t="s">
        <v>22</v>
      </c>
      <c r="E87" s="4" t="s">
        <v>22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5" t="s">
        <v>22</v>
      </c>
      <c r="N87" s="4" t="s">
        <v>22</v>
      </c>
      <c r="O87" s="4" t="s">
        <v>22</v>
      </c>
      <c r="P87" s="4" t="s">
        <v>22</v>
      </c>
      <c r="Q87" s="4" t="s">
        <v>22</v>
      </c>
    </row>
    <row r="88" spans="1:17" ht="16" x14ac:dyDescent="0.2">
      <c r="A88" s="3" t="s">
        <v>95</v>
      </c>
      <c r="B88" s="4" t="s">
        <v>22</v>
      </c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5" t="s">
        <v>22</v>
      </c>
      <c r="N88" s="4" t="s">
        <v>22</v>
      </c>
      <c r="O88" s="4" t="s">
        <v>22</v>
      </c>
      <c r="P88" s="4" t="s">
        <v>22</v>
      </c>
      <c r="Q88" s="4" t="s">
        <v>22</v>
      </c>
    </row>
    <row r="89" spans="1:17" ht="16" x14ac:dyDescent="0.2">
      <c r="A89" s="3" t="s">
        <v>96</v>
      </c>
      <c r="B89" s="4" t="s">
        <v>22</v>
      </c>
      <c r="C89" s="4">
        <v>1280000</v>
      </c>
      <c r="D89" s="4">
        <v>997000</v>
      </c>
      <c r="E89" s="4">
        <v>805000</v>
      </c>
      <c r="F89" s="4">
        <v>943000</v>
      </c>
      <c r="G89" s="4">
        <v>3278000</v>
      </c>
      <c r="H89" s="4">
        <v>4917000</v>
      </c>
      <c r="I89" s="4">
        <v>12283000</v>
      </c>
      <c r="J89" s="4">
        <v>13007000</v>
      </c>
      <c r="K89" s="4">
        <v>24672000</v>
      </c>
      <c r="L89" s="4">
        <v>26438000</v>
      </c>
      <c r="M89" s="5">
        <v>28211000</v>
      </c>
      <c r="N89" s="4">
        <v>24100000</v>
      </c>
      <c r="O89" s="4">
        <v>26438000</v>
      </c>
      <c r="P89" s="4">
        <v>26467000</v>
      </c>
      <c r="Q89" s="4">
        <v>28211000</v>
      </c>
    </row>
    <row r="90" spans="1:17" ht="16" x14ac:dyDescent="0.2">
      <c r="A90" s="3" t="s">
        <v>97</v>
      </c>
      <c r="B90" s="4" t="s">
        <v>22</v>
      </c>
      <c r="C90" s="4">
        <v>113451000</v>
      </c>
      <c r="D90" s="4">
        <v>120236000</v>
      </c>
      <c r="E90" s="4">
        <v>121142000</v>
      </c>
      <c r="F90" s="4">
        <v>111800000</v>
      </c>
      <c r="G90" s="4">
        <v>119836000</v>
      </c>
      <c r="H90" s="4">
        <v>139749000</v>
      </c>
      <c r="I90" s="4">
        <v>166113000</v>
      </c>
      <c r="J90" s="4">
        <v>211565000</v>
      </c>
      <c r="K90" s="4">
        <v>249203000</v>
      </c>
      <c r="L90" s="4">
        <v>424190000</v>
      </c>
      <c r="M90" s="5">
        <v>451217000</v>
      </c>
      <c r="N90" s="4">
        <v>411036000</v>
      </c>
      <c r="O90" s="4">
        <v>424190000</v>
      </c>
      <c r="P90" s="4">
        <v>451297000</v>
      </c>
      <c r="Q90" s="4">
        <v>451217000</v>
      </c>
    </row>
    <row r="91" spans="1:17" ht="16" x14ac:dyDescent="0.2">
      <c r="A91" s="3" t="s">
        <v>98</v>
      </c>
      <c r="B91" s="4" t="s">
        <v>22</v>
      </c>
      <c r="C91" s="4">
        <v>4685000</v>
      </c>
      <c r="D91" s="4">
        <v>6638000</v>
      </c>
      <c r="E91" s="4">
        <v>1360000</v>
      </c>
      <c r="F91" s="4">
        <v>1458000</v>
      </c>
      <c r="G91" s="4">
        <v>1752000</v>
      </c>
      <c r="H91" s="4">
        <v>2750000</v>
      </c>
      <c r="I91" s="4">
        <v>18616000</v>
      </c>
      <c r="J91" s="4">
        <v>3658000</v>
      </c>
      <c r="K91" s="4">
        <v>5414000</v>
      </c>
      <c r="L91" s="4">
        <v>5219000</v>
      </c>
      <c r="M91" s="5">
        <v>6112000</v>
      </c>
      <c r="N91" s="4">
        <v>3497000</v>
      </c>
      <c r="O91" s="4">
        <v>5219000</v>
      </c>
      <c r="P91" s="4">
        <v>6848000</v>
      </c>
      <c r="Q91" s="4">
        <v>6112000</v>
      </c>
    </row>
    <row r="92" spans="1:17" ht="16" x14ac:dyDescent="0.2">
      <c r="A92" s="3" t="s">
        <v>99</v>
      </c>
      <c r="B92" s="4" t="s">
        <v>22</v>
      </c>
      <c r="C92" s="4">
        <v>1005000</v>
      </c>
      <c r="D92" s="4">
        <v>1502000</v>
      </c>
      <c r="E92" s="4">
        <v>1360000</v>
      </c>
      <c r="F92" s="4">
        <v>1458000</v>
      </c>
      <c r="G92" s="4">
        <v>1752000</v>
      </c>
      <c r="H92" s="4">
        <v>2750000</v>
      </c>
      <c r="I92" s="4">
        <v>3348000</v>
      </c>
      <c r="J92" s="4">
        <v>3658000</v>
      </c>
      <c r="K92" s="4">
        <v>5414000</v>
      </c>
      <c r="L92" s="4">
        <v>5219000</v>
      </c>
      <c r="M92" s="5">
        <v>6112000</v>
      </c>
      <c r="N92" s="4">
        <v>3497000</v>
      </c>
      <c r="O92" s="4">
        <v>5219000</v>
      </c>
      <c r="P92" s="4">
        <v>6848000</v>
      </c>
      <c r="Q92" s="4">
        <v>6112000</v>
      </c>
    </row>
    <row r="93" spans="1:17" ht="16" x14ac:dyDescent="0.2">
      <c r="A93" s="3" t="s">
        <v>100</v>
      </c>
      <c r="B93" s="4" t="s">
        <v>22</v>
      </c>
      <c r="C93" s="4" t="s">
        <v>22</v>
      </c>
      <c r="D93" s="4" t="s">
        <v>22</v>
      </c>
      <c r="E93" s="4">
        <v>161000</v>
      </c>
      <c r="F93" s="4">
        <v>895000</v>
      </c>
      <c r="G93" s="4">
        <v>163000</v>
      </c>
      <c r="H93" s="4">
        <v>398000</v>
      </c>
      <c r="I93" s="4">
        <v>522000</v>
      </c>
      <c r="J93" s="4" t="s">
        <v>22</v>
      </c>
      <c r="K93" s="4">
        <v>1808000</v>
      </c>
      <c r="L93" s="4">
        <v>6401000</v>
      </c>
      <c r="M93" s="5" t="s">
        <v>22</v>
      </c>
      <c r="N93" s="4" t="s">
        <v>22</v>
      </c>
      <c r="O93" s="4">
        <v>6401000</v>
      </c>
      <c r="P93" s="4" t="s">
        <v>22</v>
      </c>
      <c r="Q93" s="4" t="s">
        <v>22</v>
      </c>
    </row>
    <row r="94" spans="1:17" ht="16" x14ac:dyDescent="0.2">
      <c r="A94" s="3" t="s">
        <v>101</v>
      </c>
      <c r="B94" s="4" t="s">
        <v>22</v>
      </c>
      <c r="C94" s="4" t="s">
        <v>22</v>
      </c>
      <c r="D94" s="4" t="s">
        <v>22</v>
      </c>
      <c r="E94" s="4" t="s">
        <v>22</v>
      </c>
      <c r="F94" s="4" t="s">
        <v>22</v>
      </c>
      <c r="G94" s="4" t="s">
        <v>22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5" t="s">
        <v>22</v>
      </c>
      <c r="N94" s="4" t="s">
        <v>22</v>
      </c>
      <c r="O94" s="4" t="s">
        <v>22</v>
      </c>
      <c r="P94" s="4" t="s">
        <v>22</v>
      </c>
      <c r="Q94" s="4" t="s">
        <v>22</v>
      </c>
    </row>
    <row r="95" spans="1:17" ht="16" x14ac:dyDescent="0.2">
      <c r="A95" s="3" t="s">
        <v>102</v>
      </c>
      <c r="B95" s="4" t="s">
        <v>22</v>
      </c>
      <c r="C95" s="4">
        <v>3680000</v>
      </c>
      <c r="D95" s="4">
        <v>5136000</v>
      </c>
      <c r="E95" s="4">
        <v>-161000</v>
      </c>
      <c r="F95" s="4">
        <v>-895000</v>
      </c>
      <c r="G95" s="4">
        <v>-163000</v>
      </c>
      <c r="H95" s="4">
        <v>-398000</v>
      </c>
      <c r="I95" s="4">
        <v>14746000</v>
      </c>
      <c r="J95" s="4" t="s">
        <v>22</v>
      </c>
      <c r="K95" s="4">
        <v>-1808000</v>
      </c>
      <c r="L95" s="4">
        <v>-6401000</v>
      </c>
      <c r="M95" s="5" t="s">
        <v>22</v>
      </c>
      <c r="N95" s="4" t="s">
        <v>22</v>
      </c>
      <c r="O95" s="4">
        <v>-6401000</v>
      </c>
      <c r="P95" s="4" t="s">
        <v>22</v>
      </c>
      <c r="Q95" s="4" t="s">
        <v>22</v>
      </c>
    </row>
    <row r="96" spans="1:17" ht="16" x14ac:dyDescent="0.2">
      <c r="A96" s="3" t="s">
        <v>103</v>
      </c>
      <c r="B96" s="4" t="s">
        <v>22</v>
      </c>
      <c r="C96" s="4">
        <v>3844000</v>
      </c>
      <c r="D96" s="4">
        <v>4869000</v>
      </c>
      <c r="E96" s="4" t="s">
        <v>22</v>
      </c>
      <c r="F96" s="4">
        <v>3500000</v>
      </c>
      <c r="G96" s="4">
        <v>3500000</v>
      </c>
      <c r="H96" s="4">
        <v>2400000</v>
      </c>
      <c r="I96" s="4">
        <v>5006000</v>
      </c>
      <c r="J96" s="4">
        <v>3600000</v>
      </c>
      <c r="K96" s="4">
        <v>2443000</v>
      </c>
      <c r="L96" s="4">
        <v>7300000</v>
      </c>
      <c r="M96" s="5">
        <v>0</v>
      </c>
      <c r="N96" s="4">
        <v>7300000</v>
      </c>
      <c r="O96" s="4">
        <v>7300000</v>
      </c>
      <c r="P96" s="4">
        <v>7300000</v>
      </c>
      <c r="Q96" s="4">
        <v>0</v>
      </c>
    </row>
    <row r="97" spans="1:17" ht="16" x14ac:dyDescent="0.2">
      <c r="A97" s="3" t="s">
        <v>104</v>
      </c>
      <c r="B97" s="4" t="s">
        <v>22</v>
      </c>
      <c r="C97" s="4">
        <v>3844000</v>
      </c>
      <c r="D97" s="4">
        <v>4869000</v>
      </c>
      <c r="E97" s="4" t="s">
        <v>22</v>
      </c>
      <c r="F97" s="4">
        <v>3500000</v>
      </c>
      <c r="G97" s="4">
        <v>3500000</v>
      </c>
      <c r="H97" s="4">
        <v>2400000</v>
      </c>
      <c r="I97" s="4">
        <v>3200000</v>
      </c>
      <c r="J97" s="4">
        <v>3600000</v>
      </c>
      <c r="K97" s="4" t="s">
        <v>22</v>
      </c>
      <c r="L97" s="4">
        <v>7300000</v>
      </c>
      <c r="M97" s="5" t="s">
        <v>22</v>
      </c>
      <c r="N97" s="4">
        <v>7300000</v>
      </c>
      <c r="O97" s="4">
        <v>7300000</v>
      </c>
      <c r="P97" s="4">
        <v>7300000</v>
      </c>
      <c r="Q97" s="4" t="s">
        <v>22</v>
      </c>
    </row>
    <row r="98" spans="1:17" ht="16" x14ac:dyDescent="0.2">
      <c r="A98" s="3" t="s">
        <v>105</v>
      </c>
      <c r="B98" s="4" t="s">
        <v>22</v>
      </c>
      <c r="C98" s="4" t="s">
        <v>22</v>
      </c>
      <c r="D98" s="4" t="s">
        <v>22</v>
      </c>
      <c r="E98" s="4" t="s">
        <v>22</v>
      </c>
      <c r="F98" s="4" t="s">
        <v>22</v>
      </c>
      <c r="G98" s="4" t="s">
        <v>22</v>
      </c>
      <c r="H98" s="4" t="s">
        <v>22</v>
      </c>
      <c r="I98" s="4">
        <v>1806000</v>
      </c>
      <c r="J98" s="4">
        <v>2385000</v>
      </c>
      <c r="K98" s="4">
        <v>2443000</v>
      </c>
      <c r="L98" s="4">
        <v>2283000</v>
      </c>
      <c r="M98" s="5" t="s">
        <v>22</v>
      </c>
      <c r="N98" s="4" t="s">
        <v>22</v>
      </c>
      <c r="O98" s="4">
        <v>2283000</v>
      </c>
      <c r="P98" s="4" t="s">
        <v>22</v>
      </c>
      <c r="Q98" s="4" t="s">
        <v>22</v>
      </c>
    </row>
    <row r="99" spans="1:17" ht="16" x14ac:dyDescent="0.2">
      <c r="A99" s="3" t="s">
        <v>106</v>
      </c>
      <c r="B99" s="4" t="s">
        <v>22</v>
      </c>
      <c r="C99" s="4">
        <v>3329000</v>
      </c>
      <c r="D99" s="4">
        <v>4929000</v>
      </c>
      <c r="E99" s="4">
        <v>11210000</v>
      </c>
      <c r="F99" s="4">
        <v>11774000</v>
      </c>
      <c r="G99" s="4">
        <v>13627000</v>
      </c>
      <c r="H99" s="4">
        <v>21332000</v>
      </c>
      <c r="I99" s="4">
        <v>9307000</v>
      </c>
      <c r="J99" s="4">
        <v>43215000</v>
      </c>
      <c r="K99" s="4">
        <v>31824000</v>
      </c>
      <c r="L99" s="4">
        <v>49893000</v>
      </c>
      <c r="M99" s="5">
        <v>52676000</v>
      </c>
      <c r="N99" s="4">
        <v>49858000</v>
      </c>
      <c r="O99" s="4">
        <v>49893000</v>
      </c>
      <c r="P99" s="4">
        <v>65163000</v>
      </c>
      <c r="Q99" s="4">
        <v>52676000</v>
      </c>
    </row>
    <row r="100" spans="1:17" ht="16" x14ac:dyDescent="0.2">
      <c r="A100" s="3" t="s">
        <v>107</v>
      </c>
      <c r="B100" s="4" t="s">
        <v>22</v>
      </c>
      <c r="C100" s="4">
        <v>1102000</v>
      </c>
      <c r="D100" s="4">
        <v>1759000</v>
      </c>
      <c r="E100" s="4">
        <v>1744000</v>
      </c>
      <c r="F100" s="4">
        <v>2483000</v>
      </c>
      <c r="G100" s="4">
        <v>3869000</v>
      </c>
      <c r="H100" s="4">
        <v>5125000</v>
      </c>
      <c r="I100" s="4">
        <v>4380000</v>
      </c>
      <c r="J100" s="4">
        <v>4584000</v>
      </c>
      <c r="K100" s="4">
        <v>5006000</v>
      </c>
      <c r="L100" s="4">
        <v>6041000</v>
      </c>
      <c r="M100" s="5" t="s">
        <v>22</v>
      </c>
      <c r="N100" s="4" t="s">
        <v>22</v>
      </c>
      <c r="O100" s="4">
        <v>6041000</v>
      </c>
      <c r="P100" s="4" t="s">
        <v>22</v>
      </c>
      <c r="Q100" s="4" t="s">
        <v>22</v>
      </c>
    </row>
    <row r="101" spans="1:17" ht="16" x14ac:dyDescent="0.2">
      <c r="A101" s="3" t="s">
        <v>108</v>
      </c>
      <c r="B101" s="4" t="s">
        <v>22</v>
      </c>
      <c r="C101" s="4" t="s">
        <v>22</v>
      </c>
      <c r="D101" s="4" t="s">
        <v>22</v>
      </c>
      <c r="E101" s="4" t="s">
        <v>22</v>
      </c>
      <c r="F101" s="4" t="s">
        <v>22</v>
      </c>
      <c r="G101" s="4" t="s">
        <v>22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5" t="s">
        <v>22</v>
      </c>
      <c r="N101" s="4" t="s">
        <v>22</v>
      </c>
      <c r="O101" s="4" t="s">
        <v>22</v>
      </c>
      <c r="P101" s="4" t="s">
        <v>22</v>
      </c>
      <c r="Q101" s="4" t="s">
        <v>22</v>
      </c>
    </row>
    <row r="102" spans="1:17" ht="16" x14ac:dyDescent="0.2">
      <c r="A102" s="3" t="s">
        <v>109</v>
      </c>
      <c r="B102" s="4" t="s">
        <v>22</v>
      </c>
      <c r="C102" s="4" t="s">
        <v>22</v>
      </c>
      <c r="D102" s="4" t="s">
        <v>22</v>
      </c>
      <c r="E102" s="4" t="s">
        <v>22</v>
      </c>
      <c r="F102" s="4" t="s">
        <v>22</v>
      </c>
      <c r="G102" s="4" t="s">
        <v>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5" t="s">
        <v>22</v>
      </c>
      <c r="N102" s="4" t="s">
        <v>22</v>
      </c>
      <c r="O102" s="4" t="s">
        <v>22</v>
      </c>
      <c r="P102" s="4" t="s">
        <v>22</v>
      </c>
      <c r="Q102" s="4" t="s">
        <v>22</v>
      </c>
    </row>
    <row r="103" spans="1:17" ht="16" x14ac:dyDescent="0.2">
      <c r="A103" s="3" t="s">
        <v>110</v>
      </c>
      <c r="B103" s="4" t="s">
        <v>22</v>
      </c>
      <c r="C103" s="4">
        <v>2227000</v>
      </c>
      <c r="D103" s="4">
        <v>3170000</v>
      </c>
      <c r="E103" s="4">
        <v>9466000</v>
      </c>
      <c r="F103" s="4">
        <v>9291000</v>
      </c>
      <c r="G103" s="4">
        <v>9758000</v>
      </c>
      <c r="H103" s="4">
        <v>16207000</v>
      </c>
      <c r="I103" s="4">
        <v>4927000</v>
      </c>
      <c r="J103" s="4">
        <v>38631000</v>
      </c>
      <c r="K103" s="4">
        <v>26818000</v>
      </c>
      <c r="L103" s="4">
        <v>43852000</v>
      </c>
      <c r="M103" s="5">
        <v>52676000</v>
      </c>
      <c r="N103" s="4">
        <v>49858000</v>
      </c>
      <c r="O103" s="4">
        <v>43852000</v>
      </c>
      <c r="P103" s="4">
        <v>65163000</v>
      </c>
      <c r="Q103" s="4">
        <v>52676000</v>
      </c>
    </row>
    <row r="104" spans="1:17" ht="16" x14ac:dyDescent="0.2">
      <c r="A104" s="3" t="s">
        <v>111</v>
      </c>
      <c r="B104" s="4" t="s">
        <v>22</v>
      </c>
      <c r="C104" s="4">
        <v>11858000</v>
      </c>
      <c r="D104" s="4">
        <v>16436000</v>
      </c>
      <c r="E104" s="4">
        <v>12570000</v>
      </c>
      <c r="F104" s="4">
        <v>16732000</v>
      </c>
      <c r="G104" s="4">
        <v>18879000</v>
      </c>
      <c r="H104" s="4">
        <v>26482000</v>
      </c>
      <c r="I104" s="4">
        <v>32929000</v>
      </c>
      <c r="J104" s="4">
        <v>50473000</v>
      </c>
      <c r="K104" s="4">
        <v>39681000</v>
      </c>
      <c r="L104" s="4">
        <v>62412000</v>
      </c>
      <c r="M104" s="5">
        <v>58788000</v>
      </c>
      <c r="N104" s="4">
        <v>60655000</v>
      </c>
      <c r="O104" s="4">
        <v>62412000</v>
      </c>
      <c r="P104" s="4">
        <v>79311000</v>
      </c>
      <c r="Q104" s="4">
        <v>58788000</v>
      </c>
    </row>
    <row r="105" spans="1:17" ht="16" x14ac:dyDescent="0.2">
      <c r="A105" s="3" t="s">
        <v>112</v>
      </c>
      <c r="B105" s="4" t="s">
        <v>22</v>
      </c>
      <c r="C105" s="4">
        <v>98656000</v>
      </c>
      <c r="D105" s="4">
        <v>88852000</v>
      </c>
      <c r="E105" s="4">
        <v>95500000</v>
      </c>
      <c r="F105" s="4">
        <v>147217000</v>
      </c>
      <c r="G105" s="4">
        <v>129841000</v>
      </c>
      <c r="H105" s="4">
        <v>309374000</v>
      </c>
      <c r="I105" s="4">
        <v>307669000</v>
      </c>
      <c r="J105" s="4">
        <v>466933000</v>
      </c>
      <c r="K105" s="4">
        <v>469394000</v>
      </c>
      <c r="L105" s="4">
        <v>706846000</v>
      </c>
      <c r="M105" s="5">
        <v>711411000</v>
      </c>
      <c r="N105" s="4">
        <v>708176000</v>
      </c>
      <c r="O105" s="4">
        <v>706846000</v>
      </c>
      <c r="P105" s="4">
        <v>705483000</v>
      </c>
      <c r="Q105" s="4">
        <v>711411000</v>
      </c>
    </row>
    <row r="106" spans="1:17" ht="16" x14ac:dyDescent="0.2">
      <c r="A106" s="3" t="s">
        <v>113</v>
      </c>
      <c r="B106" s="4" t="s">
        <v>22</v>
      </c>
      <c r="C106" s="4">
        <v>98656000</v>
      </c>
      <c r="D106" s="4">
        <v>88852000</v>
      </c>
      <c r="E106" s="4">
        <v>95500000</v>
      </c>
      <c r="F106" s="4">
        <v>147217000</v>
      </c>
      <c r="G106" s="4">
        <v>129841000</v>
      </c>
      <c r="H106" s="4">
        <v>309374000</v>
      </c>
      <c r="I106" s="4">
        <v>307669000</v>
      </c>
      <c r="J106" s="4">
        <v>466933000</v>
      </c>
      <c r="K106" s="4">
        <v>469394000</v>
      </c>
      <c r="L106" s="4">
        <v>706846000</v>
      </c>
      <c r="M106" s="5">
        <v>711411000</v>
      </c>
      <c r="N106" s="4">
        <v>708176000</v>
      </c>
      <c r="O106" s="4">
        <v>706846000</v>
      </c>
      <c r="P106" s="4">
        <v>705483000</v>
      </c>
      <c r="Q106" s="4">
        <v>711411000</v>
      </c>
    </row>
    <row r="107" spans="1:17" ht="16" x14ac:dyDescent="0.2">
      <c r="A107" s="3" t="s">
        <v>114</v>
      </c>
      <c r="B107" s="4" t="s">
        <v>22</v>
      </c>
      <c r="C107" s="4" t="s">
        <v>22</v>
      </c>
      <c r="D107" s="4" t="s">
        <v>22</v>
      </c>
      <c r="E107" s="4" t="s">
        <v>22</v>
      </c>
      <c r="F107" s="4" t="s">
        <v>22</v>
      </c>
      <c r="G107" s="4" t="s">
        <v>22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5" t="s">
        <v>22</v>
      </c>
      <c r="N107" s="4" t="s">
        <v>22</v>
      </c>
      <c r="O107" s="4" t="s">
        <v>22</v>
      </c>
      <c r="P107" s="4" t="s">
        <v>22</v>
      </c>
      <c r="Q107" s="4" t="s">
        <v>22</v>
      </c>
    </row>
    <row r="108" spans="1:17" ht="16" x14ac:dyDescent="0.2">
      <c r="A108" s="3" t="s">
        <v>115</v>
      </c>
      <c r="B108" s="4" t="s">
        <v>22</v>
      </c>
      <c r="C108" s="4">
        <v>23199000</v>
      </c>
      <c r="D108" s="4">
        <v>23942000</v>
      </c>
      <c r="E108" s="4">
        <v>22745000</v>
      </c>
      <c r="F108" s="4">
        <v>22479000</v>
      </c>
      <c r="G108" s="4">
        <v>19368000</v>
      </c>
      <c r="H108" s="4">
        <v>28723000</v>
      </c>
      <c r="I108" s="4">
        <v>34943000</v>
      </c>
      <c r="J108" s="4">
        <v>35469000</v>
      </c>
      <c r="K108" s="4">
        <v>49653000</v>
      </c>
      <c r="L108" s="4">
        <v>45793000</v>
      </c>
      <c r="M108" s="5">
        <v>46369000</v>
      </c>
      <c r="N108" s="4">
        <v>48801000</v>
      </c>
      <c r="O108" s="4">
        <v>45793000</v>
      </c>
      <c r="P108" s="4">
        <v>46293000</v>
      </c>
      <c r="Q108" s="4">
        <v>46369000</v>
      </c>
    </row>
    <row r="109" spans="1:17" ht="16" x14ac:dyDescent="0.2">
      <c r="A109" s="3" t="s">
        <v>116</v>
      </c>
      <c r="B109" s="4" t="s">
        <v>22</v>
      </c>
      <c r="C109" s="4">
        <v>21893000</v>
      </c>
      <c r="D109" s="4">
        <v>22409000</v>
      </c>
      <c r="E109" s="4">
        <v>20641000</v>
      </c>
      <c r="F109" s="4">
        <v>20172000</v>
      </c>
      <c r="G109" s="4">
        <v>17226000</v>
      </c>
      <c r="H109" s="4">
        <v>26751000</v>
      </c>
      <c r="I109" s="4">
        <v>26828000</v>
      </c>
      <c r="J109" s="4">
        <v>29442000</v>
      </c>
      <c r="K109" s="4">
        <v>35456000</v>
      </c>
      <c r="L109" s="4">
        <v>31232000</v>
      </c>
      <c r="M109" s="5">
        <v>31446000</v>
      </c>
      <c r="N109" s="4">
        <v>33699000</v>
      </c>
      <c r="O109" s="4">
        <v>31232000</v>
      </c>
      <c r="P109" s="4">
        <v>31047000</v>
      </c>
      <c r="Q109" s="4">
        <v>31446000</v>
      </c>
    </row>
    <row r="110" spans="1:17" ht="16" x14ac:dyDescent="0.2">
      <c r="A110" s="3" t="s">
        <v>117</v>
      </c>
      <c r="B110" s="4" t="s">
        <v>22</v>
      </c>
      <c r="C110" s="4" t="s">
        <v>22</v>
      </c>
      <c r="D110" s="4" t="s">
        <v>22</v>
      </c>
      <c r="E110" s="4" t="s">
        <v>22</v>
      </c>
      <c r="F110" s="4" t="s">
        <v>22</v>
      </c>
      <c r="G110" s="4" t="s">
        <v>22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5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</row>
    <row r="111" spans="1:17" ht="16" x14ac:dyDescent="0.2">
      <c r="A111" s="3" t="s">
        <v>107</v>
      </c>
      <c r="B111" s="4" t="s">
        <v>22</v>
      </c>
      <c r="C111" s="4" t="s">
        <v>22</v>
      </c>
      <c r="D111" s="4" t="s">
        <v>22</v>
      </c>
      <c r="E111" s="4" t="s">
        <v>22</v>
      </c>
      <c r="F111" s="4" t="s">
        <v>22</v>
      </c>
      <c r="G111" s="4" t="s">
        <v>22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5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</row>
    <row r="112" spans="1:17" ht="16" x14ac:dyDescent="0.2">
      <c r="A112" s="3" t="s">
        <v>109</v>
      </c>
      <c r="B112" s="4" t="s">
        <v>22</v>
      </c>
      <c r="C112" s="4" t="s">
        <v>22</v>
      </c>
      <c r="D112" s="4" t="s">
        <v>22</v>
      </c>
      <c r="E112" s="4" t="s">
        <v>22</v>
      </c>
      <c r="F112" s="4" t="s">
        <v>22</v>
      </c>
      <c r="G112" s="4" t="s">
        <v>22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5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</row>
    <row r="113" spans="1:17" ht="16" x14ac:dyDescent="0.2">
      <c r="A113" s="3" t="s">
        <v>108</v>
      </c>
      <c r="B113" s="4" t="s">
        <v>22</v>
      </c>
      <c r="C113" s="4" t="s">
        <v>22</v>
      </c>
      <c r="D113" s="4" t="s">
        <v>22</v>
      </c>
      <c r="E113" s="4" t="s">
        <v>22</v>
      </c>
      <c r="F113" s="4" t="s">
        <v>22</v>
      </c>
      <c r="G113" s="4" t="s">
        <v>22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5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</row>
    <row r="114" spans="1:17" ht="16" x14ac:dyDescent="0.2">
      <c r="A114" s="3" t="s">
        <v>118</v>
      </c>
      <c r="B114" s="4" t="s">
        <v>22</v>
      </c>
      <c r="C114" s="4">
        <v>1306000</v>
      </c>
      <c r="D114" s="4">
        <v>1533000</v>
      </c>
      <c r="E114" s="4">
        <v>2104000</v>
      </c>
      <c r="F114" s="4">
        <v>2307000</v>
      </c>
      <c r="G114" s="4">
        <v>2142000</v>
      </c>
      <c r="H114" s="4">
        <v>1972000</v>
      </c>
      <c r="I114" s="4">
        <v>8115000</v>
      </c>
      <c r="J114" s="4">
        <v>6027000</v>
      </c>
      <c r="K114" s="4">
        <v>14197000</v>
      </c>
      <c r="L114" s="4">
        <v>14561000</v>
      </c>
      <c r="M114" s="5">
        <v>14923000</v>
      </c>
      <c r="N114" s="4">
        <v>15102000</v>
      </c>
      <c r="O114" s="4">
        <v>14561000</v>
      </c>
      <c r="P114" s="4">
        <v>15246000</v>
      </c>
      <c r="Q114" s="4">
        <v>14923000</v>
      </c>
    </row>
    <row r="115" spans="1:17" ht="16" x14ac:dyDescent="0.2">
      <c r="A115" s="3" t="s">
        <v>119</v>
      </c>
      <c r="B115" s="4" t="s">
        <v>22</v>
      </c>
      <c r="C115" s="4">
        <v>121855000</v>
      </c>
      <c r="D115" s="4">
        <v>112794000</v>
      </c>
      <c r="E115" s="4">
        <v>118245000</v>
      </c>
      <c r="F115" s="4">
        <v>169696000</v>
      </c>
      <c r="G115" s="4">
        <v>149209000</v>
      </c>
      <c r="H115" s="4">
        <v>338097000</v>
      </c>
      <c r="I115" s="4">
        <v>342612000</v>
      </c>
      <c r="J115" s="4">
        <v>502402000</v>
      </c>
      <c r="K115" s="4">
        <v>519047000</v>
      </c>
      <c r="L115" s="4">
        <v>752639000</v>
      </c>
      <c r="M115" s="5">
        <v>757780000</v>
      </c>
      <c r="N115" s="4">
        <v>756977000</v>
      </c>
      <c r="O115" s="4">
        <v>752639000</v>
      </c>
      <c r="P115" s="4">
        <v>751776000</v>
      </c>
      <c r="Q115" s="4">
        <v>757780000</v>
      </c>
    </row>
    <row r="116" spans="1:17" ht="16" x14ac:dyDescent="0.2">
      <c r="A116" s="3" t="s">
        <v>120</v>
      </c>
      <c r="B116" s="4" t="s">
        <v>22</v>
      </c>
      <c r="C116" s="4">
        <v>133713000</v>
      </c>
      <c r="D116" s="4">
        <v>129230000</v>
      </c>
      <c r="E116" s="4">
        <v>130815000</v>
      </c>
      <c r="F116" s="4">
        <v>186428000</v>
      </c>
      <c r="G116" s="4">
        <v>168088000</v>
      </c>
      <c r="H116" s="4">
        <v>364579000</v>
      </c>
      <c r="I116" s="4">
        <v>375541000</v>
      </c>
      <c r="J116" s="4">
        <v>552875000</v>
      </c>
      <c r="K116" s="4">
        <v>558728000</v>
      </c>
      <c r="L116" s="4">
        <v>815051000</v>
      </c>
      <c r="M116" s="5">
        <v>816568000</v>
      </c>
      <c r="N116" s="4">
        <v>817632000</v>
      </c>
      <c r="O116" s="4">
        <v>815051000</v>
      </c>
      <c r="P116" s="4">
        <v>831087000</v>
      </c>
      <c r="Q116" s="4">
        <v>816568000</v>
      </c>
    </row>
    <row r="117" spans="1:17" ht="16" x14ac:dyDescent="0.2">
      <c r="A117" s="3" t="s">
        <v>121</v>
      </c>
      <c r="B117" s="4" t="s">
        <v>22</v>
      </c>
      <c r="C117" s="4" t="s">
        <v>22</v>
      </c>
      <c r="D117" s="4" t="s">
        <v>22</v>
      </c>
      <c r="E117" s="4" t="s">
        <v>22</v>
      </c>
      <c r="F117" s="4" t="s">
        <v>22</v>
      </c>
      <c r="G117" s="4" t="s">
        <v>22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5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</row>
    <row r="118" spans="1:17" ht="16" x14ac:dyDescent="0.2">
      <c r="A118" s="3" t="s">
        <v>122</v>
      </c>
      <c r="B118" s="4" t="s">
        <v>22</v>
      </c>
      <c r="C118" s="4">
        <v>292000</v>
      </c>
      <c r="D118" s="4">
        <v>2574000</v>
      </c>
      <c r="E118" s="4">
        <v>37156000</v>
      </c>
      <c r="F118" s="4">
        <v>1481000</v>
      </c>
      <c r="G118" s="4">
        <v>553000</v>
      </c>
      <c r="H118" s="4">
        <v>1329000</v>
      </c>
      <c r="I118" s="4">
        <v>847000</v>
      </c>
      <c r="J118" s="4">
        <v>718000</v>
      </c>
      <c r="K118" s="4">
        <v>762000</v>
      </c>
      <c r="L118" s="4">
        <v>3097000</v>
      </c>
      <c r="M118" s="5">
        <v>2338000</v>
      </c>
      <c r="N118" s="4">
        <v>1290000</v>
      </c>
      <c r="O118" s="4">
        <v>3097000</v>
      </c>
      <c r="P118" s="4">
        <v>1109000</v>
      </c>
      <c r="Q118" s="4">
        <v>2338000</v>
      </c>
    </row>
    <row r="119" spans="1:17" ht="16" x14ac:dyDescent="0.2">
      <c r="A119" s="3" t="s">
        <v>123</v>
      </c>
      <c r="B119" s="4" t="s">
        <v>22</v>
      </c>
      <c r="C119" s="4">
        <v>256000</v>
      </c>
      <c r="D119" s="4">
        <v>261000</v>
      </c>
      <c r="E119" s="4">
        <v>286000</v>
      </c>
      <c r="F119" s="4">
        <v>287000</v>
      </c>
      <c r="G119" s="4">
        <v>291000</v>
      </c>
      <c r="H119" s="4">
        <v>293000</v>
      </c>
      <c r="I119" s="4">
        <v>295000</v>
      </c>
      <c r="J119" s="4">
        <v>297000</v>
      </c>
      <c r="K119" s="4">
        <v>299000</v>
      </c>
      <c r="L119" s="4">
        <v>300000</v>
      </c>
      <c r="M119" s="5">
        <v>300000</v>
      </c>
      <c r="N119" s="4">
        <v>299000</v>
      </c>
      <c r="O119" s="4">
        <v>300000</v>
      </c>
      <c r="P119" s="4">
        <v>300000</v>
      </c>
      <c r="Q119" s="4">
        <v>300000</v>
      </c>
    </row>
    <row r="120" spans="1:17" ht="16" x14ac:dyDescent="0.2">
      <c r="A120" s="3" t="s">
        <v>124</v>
      </c>
      <c r="B120" s="4" t="s">
        <v>22</v>
      </c>
      <c r="C120" s="4">
        <v>36000</v>
      </c>
      <c r="D120" s="4">
        <v>2313000</v>
      </c>
      <c r="E120" s="4">
        <v>36870000</v>
      </c>
      <c r="F120" s="4">
        <v>1194000</v>
      </c>
      <c r="G120" s="4">
        <v>262000</v>
      </c>
      <c r="H120" s="4">
        <v>1036000</v>
      </c>
      <c r="I120" s="4">
        <v>552000</v>
      </c>
      <c r="J120" s="4">
        <v>421000</v>
      </c>
      <c r="K120" s="4">
        <v>463000</v>
      </c>
      <c r="L120" s="4">
        <v>2797000</v>
      </c>
      <c r="M120" s="5">
        <v>2038000</v>
      </c>
      <c r="N120" s="4">
        <v>991000</v>
      </c>
      <c r="O120" s="4">
        <v>2797000</v>
      </c>
      <c r="P120" s="4">
        <v>809000</v>
      </c>
      <c r="Q120" s="4">
        <v>2038000</v>
      </c>
    </row>
    <row r="121" spans="1:17" ht="16" x14ac:dyDescent="0.2">
      <c r="A121" s="3" t="s">
        <v>125</v>
      </c>
      <c r="B121" s="4" t="s">
        <v>22</v>
      </c>
      <c r="C121" s="4" t="s">
        <v>22</v>
      </c>
      <c r="D121" s="4" t="s">
        <v>22</v>
      </c>
      <c r="E121" s="4" t="s">
        <v>22</v>
      </c>
      <c r="F121" s="4" t="s">
        <v>22</v>
      </c>
      <c r="G121" s="4" t="s">
        <v>22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5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</row>
    <row r="122" spans="1:17" ht="16" x14ac:dyDescent="0.2">
      <c r="A122" s="3" t="s">
        <v>126</v>
      </c>
      <c r="B122" s="4" t="s">
        <v>22</v>
      </c>
      <c r="C122" s="4">
        <v>-20554000</v>
      </c>
      <c r="D122" s="4">
        <v>-11568000</v>
      </c>
      <c r="E122" s="4">
        <v>-46829000</v>
      </c>
      <c r="F122" s="4">
        <v>-76109000</v>
      </c>
      <c r="G122" s="4">
        <v>-48805000</v>
      </c>
      <c r="H122" s="4">
        <v>-226159000</v>
      </c>
      <c r="I122" s="4">
        <v>-210275000</v>
      </c>
      <c r="J122" s="4">
        <v>-342028000</v>
      </c>
      <c r="K122" s="4">
        <v>-310031000</v>
      </c>
      <c r="L122" s="4">
        <v>-393321000</v>
      </c>
      <c r="M122" s="5">
        <v>-367327000</v>
      </c>
      <c r="N122" s="4">
        <v>-406902000</v>
      </c>
      <c r="O122" s="4">
        <v>-393321000</v>
      </c>
      <c r="P122" s="4">
        <v>-380409000</v>
      </c>
      <c r="Q122" s="4">
        <v>-367327000</v>
      </c>
    </row>
    <row r="123" spans="1:17" ht="16" x14ac:dyDescent="0.2">
      <c r="A123" s="3" t="s">
        <v>127</v>
      </c>
      <c r="B123" s="4" t="s">
        <v>22</v>
      </c>
      <c r="C123" s="4" t="s">
        <v>22</v>
      </c>
      <c r="D123" s="4" t="s">
        <v>22</v>
      </c>
      <c r="E123" s="4" t="s">
        <v>22</v>
      </c>
      <c r="F123" s="4" t="s">
        <v>22</v>
      </c>
      <c r="G123" s="4" t="s">
        <v>22</v>
      </c>
      <c r="H123" s="4" t="s">
        <v>22</v>
      </c>
      <c r="I123" s="4" t="s">
        <v>22</v>
      </c>
      <c r="J123" s="4" t="s">
        <v>22</v>
      </c>
      <c r="K123" s="4">
        <v>-256000</v>
      </c>
      <c r="L123" s="4">
        <v>-637000</v>
      </c>
      <c r="M123" s="5">
        <v>-362000</v>
      </c>
      <c r="N123" s="4">
        <v>-984000</v>
      </c>
      <c r="O123" s="4">
        <v>-637000</v>
      </c>
      <c r="P123" s="4">
        <v>-490000</v>
      </c>
      <c r="Q123" s="4">
        <v>-362000</v>
      </c>
    </row>
    <row r="124" spans="1:17" ht="16" x14ac:dyDescent="0.2">
      <c r="A124" s="3" t="s">
        <v>128</v>
      </c>
      <c r="B124" s="4" t="s">
        <v>22</v>
      </c>
      <c r="C124" s="4">
        <v>-20262000</v>
      </c>
      <c r="D124" s="4">
        <v>-8994000</v>
      </c>
      <c r="E124" s="4">
        <v>-9673000</v>
      </c>
      <c r="F124" s="4">
        <v>-74628000</v>
      </c>
      <c r="G124" s="4">
        <v>-48252000</v>
      </c>
      <c r="H124" s="4">
        <v>-224830000</v>
      </c>
      <c r="I124" s="4">
        <v>-209428000</v>
      </c>
      <c r="J124" s="4">
        <v>-341310000</v>
      </c>
      <c r="K124" s="4">
        <v>-309525000</v>
      </c>
      <c r="L124" s="4">
        <v>-390861000</v>
      </c>
      <c r="M124" s="5">
        <v>-365351000</v>
      </c>
      <c r="N124" s="4">
        <v>-406596000</v>
      </c>
      <c r="O124" s="4">
        <v>-390861000</v>
      </c>
      <c r="P124" s="4">
        <v>-379790000</v>
      </c>
      <c r="Q124" s="4">
        <v>-365351000</v>
      </c>
    </row>
    <row r="125" spans="1:17" ht="16" x14ac:dyDescent="0.2">
      <c r="A125" s="3" t="s">
        <v>129</v>
      </c>
      <c r="B125" s="4" t="s">
        <v>22</v>
      </c>
      <c r="C125" s="4" t="s">
        <v>22</v>
      </c>
      <c r="D125" s="4" t="s">
        <v>22</v>
      </c>
      <c r="E125" s="4" t="s">
        <v>22</v>
      </c>
      <c r="F125" s="4" t="s">
        <v>22</v>
      </c>
      <c r="G125" s="4" t="s">
        <v>22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5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</row>
    <row r="126" spans="1:17" ht="16" x14ac:dyDescent="0.2">
      <c r="A126" s="3" t="s">
        <v>130</v>
      </c>
      <c r="B126" s="4" t="s">
        <v>22</v>
      </c>
      <c r="C126" s="4">
        <v>-20262000</v>
      </c>
      <c r="D126" s="4">
        <v>-8994000</v>
      </c>
      <c r="E126" s="4">
        <v>-9673000</v>
      </c>
      <c r="F126" s="4">
        <v>-74628000</v>
      </c>
      <c r="G126" s="4">
        <v>-48252000</v>
      </c>
      <c r="H126" s="4">
        <v>-224830000</v>
      </c>
      <c r="I126" s="4">
        <v>-209428000</v>
      </c>
      <c r="J126" s="4">
        <v>-341310000</v>
      </c>
      <c r="K126" s="4">
        <v>-309525000</v>
      </c>
      <c r="L126" s="4">
        <v>-390861000</v>
      </c>
      <c r="M126" s="5">
        <v>-365351000</v>
      </c>
      <c r="N126" s="4">
        <v>-406596000</v>
      </c>
      <c r="O126" s="4">
        <v>-390861000</v>
      </c>
      <c r="P126" s="4">
        <v>-379790000</v>
      </c>
      <c r="Q126" s="4">
        <v>-365351000</v>
      </c>
    </row>
    <row r="127" spans="1:17" ht="16" x14ac:dyDescent="0.2">
      <c r="A127" s="3" t="s">
        <v>131</v>
      </c>
      <c r="B127" s="4" t="s">
        <v>22</v>
      </c>
      <c r="C127" s="4">
        <v>113451000</v>
      </c>
      <c r="D127" s="4">
        <v>120236000</v>
      </c>
      <c r="E127" s="4">
        <v>121142000</v>
      </c>
      <c r="F127" s="4">
        <v>111800000</v>
      </c>
      <c r="G127" s="4">
        <v>119836000</v>
      </c>
      <c r="H127" s="4">
        <v>139749000</v>
      </c>
      <c r="I127" s="4">
        <v>166113000</v>
      </c>
      <c r="J127" s="4">
        <v>211565000</v>
      </c>
      <c r="K127" s="4">
        <v>249203000</v>
      </c>
      <c r="L127" s="4">
        <v>424190000</v>
      </c>
      <c r="M127" s="5">
        <v>451217000</v>
      </c>
      <c r="N127" s="4">
        <v>411036000</v>
      </c>
      <c r="O127" s="4">
        <v>424190000</v>
      </c>
      <c r="P127" s="4">
        <v>451297000</v>
      </c>
      <c r="Q127" s="4">
        <v>451217000</v>
      </c>
    </row>
    <row r="128" spans="1:17" ht="16" x14ac:dyDescent="0.2">
      <c r="A128" s="100" t="s">
        <v>132</v>
      </c>
      <c r="B128" s="98">
        <v>28354000</v>
      </c>
      <c r="C128" s="98">
        <v>28581182</v>
      </c>
      <c r="D128" s="98">
        <v>28581182</v>
      </c>
      <c r="E128" s="98">
        <v>28581182</v>
      </c>
      <c r="F128" s="98">
        <v>28747392</v>
      </c>
      <c r="G128" s="98">
        <v>29092669</v>
      </c>
      <c r="H128" s="98">
        <v>29296939</v>
      </c>
      <c r="I128" s="98">
        <v>29457228</v>
      </c>
      <c r="J128" s="98">
        <v>29687123</v>
      </c>
      <c r="K128" s="98">
        <v>29837454</v>
      </c>
      <c r="L128" s="98">
        <v>29932668</v>
      </c>
      <c r="M128" s="99">
        <v>29977614</v>
      </c>
      <c r="N128" s="98">
        <v>29916183</v>
      </c>
      <c r="O128" s="98">
        <v>29932668</v>
      </c>
      <c r="P128" s="98">
        <v>29968872</v>
      </c>
      <c r="Q128" s="98">
        <v>29977614</v>
      </c>
    </row>
    <row r="129" spans="1:17" ht="16" x14ac:dyDescent="0.2">
      <c r="A129" s="13" t="s">
        <v>195</v>
      </c>
      <c r="B129" s="10"/>
      <c r="C129" s="19">
        <f>(C128/B128)-1</f>
        <v>8.0123439373633865E-3</v>
      </c>
      <c r="D129" s="19">
        <f>(D128/C128)-1</f>
        <v>0</v>
      </c>
      <c r="E129" s="19">
        <f>(E128/D128)-1</f>
        <v>0</v>
      </c>
      <c r="F129" s="19">
        <f t="shared" ref="F129:N129" si="6">(F128/E128)-1</f>
        <v>5.8153648089152021E-3</v>
      </c>
      <c r="G129" s="19">
        <f t="shared" si="6"/>
        <v>1.2010724311965371E-2</v>
      </c>
      <c r="H129" s="19">
        <f t="shared" si="6"/>
        <v>7.0213564798746742E-3</v>
      </c>
      <c r="I129" s="19">
        <f t="shared" si="6"/>
        <v>5.4711859146787667E-3</v>
      </c>
      <c r="J129" s="19">
        <f t="shared" si="6"/>
        <v>7.8043663850515532E-3</v>
      </c>
      <c r="K129" s="19">
        <f t="shared" si="6"/>
        <v>5.0638453581373088E-3</v>
      </c>
      <c r="L129" s="19">
        <f t="shared" si="6"/>
        <v>3.1910899636409251E-3</v>
      </c>
      <c r="M129" s="19">
        <f t="shared" si="6"/>
        <v>1.5015701239862178E-3</v>
      </c>
      <c r="N129" s="19">
        <f t="shared" si="6"/>
        <v>-2.0492291347803393E-3</v>
      </c>
      <c r="O129" s="19">
        <f>(O128/N128)-1</f>
        <v>5.5103954939705879E-4</v>
      </c>
      <c r="P129" s="19">
        <f>(P128/O128)-1</f>
        <v>1.209514634646025E-3</v>
      </c>
      <c r="Q129" s="19">
        <f>(Q128/P128)-1</f>
        <v>2.9170267069100753E-4</v>
      </c>
    </row>
    <row r="130" spans="1:17" ht="16" x14ac:dyDescent="0.2">
      <c r="A130" s="3" t="s">
        <v>133</v>
      </c>
      <c r="B130" s="4" t="s">
        <v>22</v>
      </c>
      <c r="C130" s="4" t="s">
        <v>22</v>
      </c>
      <c r="D130" s="4" t="s">
        <v>22</v>
      </c>
      <c r="E130" s="4" t="s">
        <v>22</v>
      </c>
      <c r="F130" s="4" t="s">
        <v>22</v>
      </c>
      <c r="G130" s="4" t="s">
        <v>22</v>
      </c>
      <c r="H130" s="4" t="s">
        <v>22</v>
      </c>
      <c r="I130" s="4">
        <v>1806000</v>
      </c>
      <c r="J130" s="4">
        <v>2385000</v>
      </c>
      <c r="K130" s="4">
        <v>2443000</v>
      </c>
      <c r="L130" s="4">
        <v>2283000</v>
      </c>
      <c r="M130" s="5" t="s">
        <v>22</v>
      </c>
      <c r="N130" s="4" t="s">
        <v>22</v>
      </c>
      <c r="O130" s="4">
        <v>2283000</v>
      </c>
      <c r="P130" s="4" t="s">
        <v>22</v>
      </c>
      <c r="Q130" s="4" t="s">
        <v>22</v>
      </c>
    </row>
    <row r="131" spans="1:17" ht="16" x14ac:dyDescent="0.2">
      <c r="A131" s="3" t="s">
        <v>134</v>
      </c>
      <c r="B131" s="4" t="s">
        <v>22</v>
      </c>
      <c r="C131" s="4">
        <v>99327000</v>
      </c>
      <c r="D131" s="4">
        <v>83998000</v>
      </c>
      <c r="E131" s="4">
        <v>84810000</v>
      </c>
      <c r="F131" s="4">
        <v>146967000</v>
      </c>
      <c r="G131" s="4">
        <v>129278000</v>
      </c>
      <c r="H131" s="4">
        <v>299281000</v>
      </c>
      <c r="I131" s="4">
        <v>298020000</v>
      </c>
      <c r="J131" s="4">
        <v>429675000</v>
      </c>
      <c r="K131" s="4">
        <v>420811000</v>
      </c>
      <c r="L131" s="4">
        <v>529650000</v>
      </c>
      <c r="M131" s="5">
        <v>522911000</v>
      </c>
      <c r="N131" s="4">
        <v>541965000</v>
      </c>
      <c r="O131" s="4">
        <v>529650000</v>
      </c>
      <c r="P131" s="4">
        <v>516585000</v>
      </c>
      <c r="Q131" s="4">
        <v>522911000</v>
      </c>
    </row>
    <row r="132" spans="1:17" ht="16" x14ac:dyDescent="0.2">
      <c r="A132" s="3" t="s">
        <v>135</v>
      </c>
      <c r="B132" s="4" t="s">
        <v>22</v>
      </c>
      <c r="C132" s="6">
        <v>-490.21</v>
      </c>
      <c r="D132" s="6">
        <v>-933.93</v>
      </c>
      <c r="E132" s="6">
        <v>-876.77</v>
      </c>
      <c r="F132" s="6">
        <v>-196.93</v>
      </c>
      <c r="G132" s="6">
        <v>-267.92</v>
      </c>
      <c r="H132" s="6">
        <v>-133.11000000000001</v>
      </c>
      <c r="I132" s="6">
        <v>-142.30000000000001</v>
      </c>
      <c r="J132" s="6">
        <v>-125.89</v>
      </c>
      <c r="K132" s="6">
        <v>-135.94999999999999</v>
      </c>
      <c r="L132" s="6">
        <v>-135.51</v>
      </c>
      <c r="M132" s="7">
        <v>-143.13</v>
      </c>
      <c r="N132" s="6">
        <v>-133.29</v>
      </c>
      <c r="O132" s="6">
        <v>-135.51</v>
      </c>
      <c r="P132" s="6">
        <v>-136.02000000000001</v>
      </c>
      <c r="Q132" s="6">
        <v>-143.13</v>
      </c>
    </row>
    <row r="133" spans="1:17" ht="16" x14ac:dyDescent="0.2">
      <c r="A133" s="3" t="s">
        <v>136</v>
      </c>
      <c r="B133" s="4" t="s">
        <v>22</v>
      </c>
      <c r="C133" s="6">
        <v>-846.37</v>
      </c>
      <c r="D133" s="6">
        <v>-468.29</v>
      </c>
      <c r="E133" s="6">
        <v>-422.88</v>
      </c>
      <c r="F133" s="6">
        <v>-992.91</v>
      </c>
      <c r="G133" s="6">
        <v>-572.03</v>
      </c>
      <c r="H133" s="6">
        <v>-744.7</v>
      </c>
      <c r="I133" s="6">
        <v>-434.08</v>
      </c>
      <c r="J133" s="6">
        <v>-386.79</v>
      </c>
      <c r="K133" s="6">
        <v>-274.17</v>
      </c>
      <c r="L133" s="6">
        <v>-154.72999999999999</v>
      </c>
      <c r="M133" s="7">
        <v>-136.71</v>
      </c>
      <c r="N133" s="6">
        <v>-163.38999999999999</v>
      </c>
      <c r="O133" s="6">
        <v>-154.72999999999999</v>
      </c>
      <c r="P133" s="6">
        <v>-139.24</v>
      </c>
      <c r="Q133" s="6">
        <v>-136.71</v>
      </c>
    </row>
    <row r="134" spans="1:17" ht="16" x14ac:dyDescent="0.2">
      <c r="A134" s="3" t="s">
        <v>137</v>
      </c>
      <c r="B134" s="4" t="s">
        <v>22</v>
      </c>
      <c r="C134" s="6">
        <v>0.72</v>
      </c>
      <c r="D134" s="6">
        <v>1.1000000000000001</v>
      </c>
      <c r="E134" s="6">
        <v>1.56</v>
      </c>
      <c r="F134" s="6">
        <v>0.66</v>
      </c>
      <c r="G134" s="6">
        <v>0.84</v>
      </c>
      <c r="H134" s="6">
        <v>1.1299999999999999</v>
      </c>
      <c r="I134" s="6">
        <v>0.92</v>
      </c>
      <c r="J134" s="6">
        <v>1.44</v>
      </c>
      <c r="K134" s="6">
        <v>1.77</v>
      </c>
      <c r="L134" s="6">
        <v>3.63</v>
      </c>
      <c r="M134" s="7">
        <v>4.05</v>
      </c>
      <c r="N134" s="6">
        <v>3.68</v>
      </c>
      <c r="O134" s="6">
        <v>3.63</v>
      </c>
      <c r="P134" s="6">
        <v>3.14</v>
      </c>
      <c r="Q134" s="6">
        <v>4.05</v>
      </c>
    </row>
    <row r="135" spans="1:17" ht="16" x14ac:dyDescent="0.2">
      <c r="A135" s="3" t="s">
        <v>138</v>
      </c>
      <c r="B135" s="4" t="s">
        <v>22</v>
      </c>
      <c r="C135" s="6">
        <v>-1.73</v>
      </c>
      <c r="D135" s="6">
        <v>-8.94</v>
      </c>
      <c r="E135" s="6">
        <v>-7.52</v>
      </c>
      <c r="F135" s="6">
        <v>-4.1500000000000004</v>
      </c>
      <c r="G135" s="6">
        <v>-4.1500000000000004</v>
      </c>
      <c r="H135" s="6">
        <v>1.26</v>
      </c>
      <c r="I135" s="6">
        <v>-1.36</v>
      </c>
      <c r="J135" s="6">
        <v>-2.88</v>
      </c>
      <c r="K135" s="6">
        <v>-2.86</v>
      </c>
      <c r="L135" s="6">
        <v>-1.1100000000000001</v>
      </c>
      <c r="M135" s="7">
        <v>0.1</v>
      </c>
      <c r="N135" s="6">
        <v>-0.12</v>
      </c>
      <c r="O135" s="6">
        <v>-1.1499999999999999</v>
      </c>
      <c r="P135" s="6">
        <v>-2.8</v>
      </c>
      <c r="Q135" s="6">
        <v>0.1</v>
      </c>
    </row>
    <row r="136" spans="1:17" ht="16" x14ac:dyDescent="0.2">
      <c r="A136" s="3" t="s">
        <v>139</v>
      </c>
      <c r="B136" s="4" t="s">
        <v>22</v>
      </c>
      <c r="C136" s="4" t="s">
        <v>22</v>
      </c>
      <c r="D136" s="4" t="s">
        <v>22</v>
      </c>
      <c r="E136" s="4">
        <v>428</v>
      </c>
      <c r="F136" s="4">
        <v>479</v>
      </c>
      <c r="G136" s="4">
        <v>530</v>
      </c>
      <c r="H136" s="4">
        <v>661</v>
      </c>
      <c r="I136" s="4">
        <v>784</v>
      </c>
      <c r="J136" s="4">
        <v>819</v>
      </c>
      <c r="K136" s="4">
        <v>890</v>
      </c>
      <c r="L136" s="4">
        <v>1031</v>
      </c>
      <c r="M136" s="5">
        <v>1031</v>
      </c>
      <c r="N136" s="4">
        <v>890</v>
      </c>
      <c r="O136" s="4">
        <v>1031</v>
      </c>
      <c r="P136" s="4">
        <v>1031</v>
      </c>
      <c r="Q136" s="4">
        <v>1031</v>
      </c>
    </row>
    <row r="138" spans="1:17" ht="16" x14ac:dyDescent="0.2">
      <c r="A138" s="2" t="s">
        <v>22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</row>
    <row r="139" spans="1:17" ht="16" x14ac:dyDescent="0.2">
      <c r="A139" s="3" t="s">
        <v>140</v>
      </c>
      <c r="B139" s="4">
        <v>3580000</v>
      </c>
      <c r="C139" s="4">
        <v>7530000</v>
      </c>
      <c r="D139" s="4">
        <v>8986000</v>
      </c>
      <c r="E139" s="4">
        <v>10106000</v>
      </c>
      <c r="F139" s="4">
        <v>15434000</v>
      </c>
      <c r="G139" s="4">
        <v>27304000</v>
      </c>
      <c r="H139" s="4">
        <v>21719000</v>
      </c>
      <c r="I139" s="4">
        <v>20476000</v>
      </c>
      <c r="J139" s="4">
        <v>23306000</v>
      </c>
      <c r="K139" s="4">
        <v>42658000</v>
      </c>
      <c r="L139" s="4">
        <v>52947000</v>
      </c>
      <c r="M139" s="5">
        <v>62814000</v>
      </c>
      <c r="N139" s="4">
        <v>13368000</v>
      </c>
      <c r="O139" s="4">
        <v>17596000</v>
      </c>
      <c r="P139" s="4">
        <v>15669000</v>
      </c>
      <c r="Q139" s="4">
        <v>16181000</v>
      </c>
    </row>
    <row r="140" spans="1:17" ht="16" x14ac:dyDescent="0.2">
      <c r="A140" s="3" t="s">
        <v>141</v>
      </c>
      <c r="B140" s="4">
        <v>2930000</v>
      </c>
      <c r="C140" s="4">
        <v>3030000</v>
      </c>
      <c r="D140" s="4">
        <v>2904000</v>
      </c>
      <c r="E140" s="4">
        <v>2682000</v>
      </c>
      <c r="F140" s="4">
        <v>3008000</v>
      </c>
      <c r="G140" s="4">
        <v>3376000</v>
      </c>
      <c r="H140" s="4">
        <v>4313000</v>
      </c>
      <c r="I140" s="4">
        <v>5484000</v>
      </c>
      <c r="J140" s="4">
        <v>7518000</v>
      </c>
      <c r="K140" s="4">
        <v>7943000</v>
      </c>
      <c r="L140" s="4">
        <v>10899000</v>
      </c>
      <c r="M140" s="5">
        <v>12332000</v>
      </c>
      <c r="N140" s="4">
        <v>2836000</v>
      </c>
      <c r="O140" s="4">
        <v>3289000</v>
      </c>
      <c r="P140" s="4">
        <v>2989000</v>
      </c>
      <c r="Q140" s="4">
        <v>3218000</v>
      </c>
    </row>
    <row r="141" spans="1:17" ht="16" x14ac:dyDescent="0.2">
      <c r="A141" s="3" t="s">
        <v>142</v>
      </c>
      <c r="B141" s="4">
        <v>1741000</v>
      </c>
      <c r="C141" s="4">
        <v>-495000</v>
      </c>
      <c r="D141" s="4">
        <v>-1229000</v>
      </c>
      <c r="E141" s="4">
        <v>-354000</v>
      </c>
      <c r="F141" s="4">
        <v>-209000</v>
      </c>
      <c r="G141" s="4">
        <v>-1362000</v>
      </c>
      <c r="H141" s="4">
        <v>4654000</v>
      </c>
      <c r="I141" s="4">
        <v>8134000</v>
      </c>
      <c r="J141" s="4">
        <v>20693000</v>
      </c>
      <c r="K141" s="4">
        <v>10488000</v>
      </c>
      <c r="L141" s="4">
        <v>4865000</v>
      </c>
      <c r="M141" s="5">
        <v>10308000</v>
      </c>
      <c r="N141" s="4">
        <v>3134000</v>
      </c>
      <c r="O141" s="4">
        <v>215000</v>
      </c>
      <c r="P141" s="4">
        <v>3137000</v>
      </c>
      <c r="Q141" s="4">
        <v>3822000</v>
      </c>
    </row>
    <row r="142" spans="1:17" ht="16" x14ac:dyDescent="0.2">
      <c r="A142" s="100" t="s">
        <v>143</v>
      </c>
      <c r="B142" s="98">
        <v>464000</v>
      </c>
      <c r="C142" s="98">
        <v>748000</v>
      </c>
      <c r="D142" s="98">
        <v>960000</v>
      </c>
      <c r="E142" s="98">
        <v>1155000</v>
      </c>
      <c r="F142" s="98">
        <v>1231000</v>
      </c>
      <c r="G142" s="98">
        <v>1851000</v>
      </c>
      <c r="H142" s="98">
        <v>3725000</v>
      </c>
      <c r="I142" s="98">
        <v>6974000</v>
      </c>
      <c r="J142" s="98">
        <v>8558000</v>
      </c>
      <c r="K142" s="98">
        <v>9631000</v>
      </c>
      <c r="L142" s="98">
        <v>4200000</v>
      </c>
      <c r="M142" s="99">
        <v>10505000</v>
      </c>
      <c r="N142" s="98">
        <v>1528000</v>
      </c>
      <c r="O142" s="98">
        <v>2082000</v>
      </c>
      <c r="P142" s="98">
        <v>3345000</v>
      </c>
      <c r="Q142" s="98">
        <v>3550000</v>
      </c>
    </row>
    <row r="143" spans="1:17" ht="16" x14ac:dyDescent="0.2">
      <c r="A143" s="12" t="s">
        <v>196</v>
      </c>
      <c r="B143" s="19">
        <f t="shared" ref="B143:Q143" si="7">B142/B2</f>
        <v>8.9938167509836988E-3</v>
      </c>
      <c r="C143" s="19">
        <f t="shared" si="7"/>
        <v>1.2678180986118408E-2</v>
      </c>
      <c r="D143" s="19">
        <f t="shared" si="7"/>
        <v>1.4232976026331006E-2</v>
      </c>
      <c r="E143" s="19">
        <f t="shared" si="7"/>
        <v>1.4813579756056895E-2</v>
      </c>
      <c r="F143" s="19">
        <f t="shared" si="7"/>
        <v>1.3474315612036034E-2</v>
      </c>
      <c r="G143" s="19">
        <f t="shared" si="7"/>
        <v>1.7536380172805822E-2</v>
      </c>
      <c r="H143" s="19">
        <f t="shared" si="7"/>
        <v>2.4317637304887681E-2</v>
      </c>
      <c r="I143" s="19">
        <f t="shared" si="7"/>
        <v>3.4926581061319337E-2</v>
      </c>
      <c r="J143" s="19">
        <f t="shared" si="7"/>
        <v>3.4395585404182291E-2</v>
      </c>
      <c r="K143" s="19">
        <f t="shared" si="7"/>
        <v>3.4091794040396174E-2</v>
      </c>
      <c r="L143" s="19">
        <f t="shared" si="7"/>
        <v>1.1747561681691426E-2</v>
      </c>
      <c r="M143" s="19">
        <f t="shared" si="7"/>
        <v>2.5409195685878971E-2</v>
      </c>
      <c r="N143" s="19">
        <f t="shared" si="7"/>
        <v>1.6488259668508289E-2</v>
      </c>
      <c r="O143" s="19">
        <f t="shared" si="7"/>
        <v>1.9853719473237528E-2</v>
      </c>
      <c r="P143" s="19">
        <f t="shared" si="7"/>
        <v>3.0766825176368872E-2</v>
      </c>
      <c r="Q143" s="19">
        <f t="shared" si="7"/>
        <v>3.3124014443936436E-2</v>
      </c>
    </row>
    <row r="144" spans="1:17" ht="16" x14ac:dyDescent="0.2">
      <c r="A144" s="3" t="s">
        <v>144</v>
      </c>
      <c r="B144" s="4">
        <v>-1119000</v>
      </c>
      <c r="C144" s="4">
        <v>-917000</v>
      </c>
      <c r="D144" s="4">
        <v>-1530000</v>
      </c>
      <c r="E144" s="4">
        <v>-1046000</v>
      </c>
      <c r="F144" s="4">
        <v>-714000</v>
      </c>
      <c r="G144" s="4">
        <v>-3505000</v>
      </c>
      <c r="H144" s="4">
        <v>-1054000</v>
      </c>
      <c r="I144" s="4">
        <v>-426000</v>
      </c>
      <c r="J144" s="4">
        <v>-4000</v>
      </c>
      <c r="K144" s="4">
        <v>2953000</v>
      </c>
      <c r="L144" s="4">
        <v>-3252000</v>
      </c>
      <c r="M144" s="5">
        <v>-2748000</v>
      </c>
      <c r="N144" s="4">
        <v>859000</v>
      </c>
      <c r="O144" s="4">
        <v>-2577000</v>
      </c>
      <c r="P144" s="4">
        <v>-800000</v>
      </c>
      <c r="Q144" s="4">
        <v>-230000</v>
      </c>
    </row>
    <row r="145" spans="1:17" ht="16" x14ac:dyDescent="0.2">
      <c r="A145" s="3" t="s">
        <v>145</v>
      </c>
      <c r="B145" s="4" t="s">
        <v>22</v>
      </c>
      <c r="C145" s="4" t="s">
        <v>22</v>
      </c>
      <c r="D145" s="4" t="s">
        <v>22</v>
      </c>
      <c r="E145" s="4" t="s">
        <v>22</v>
      </c>
      <c r="F145" s="4" t="s">
        <v>22</v>
      </c>
      <c r="G145" s="4" t="s">
        <v>22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5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</row>
    <row r="146" spans="1:17" ht="16" x14ac:dyDescent="0.2">
      <c r="A146" s="3" t="s">
        <v>146</v>
      </c>
      <c r="B146" s="4">
        <v>2396000</v>
      </c>
      <c r="C146" s="4">
        <v>-326000</v>
      </c>
      <c r="D146" s="4">
        <v>-659000</v>
      </c>
      <c r="E146" s="4">
        <v>-463000</v>
      </c>
      <c r="F146" s="4">
        <v>-726000</v>
      </c>
      <c r="G146" s="4">
        <v>292000</v>
      </c>
      <c r="H146" s="4">
        <v>1983000</v>
      </c>
      <c r="I146" s="4">
        <v>1586000</v>
      </c>
      <c r="J146" s="4">
        <v>12139000</v>
      </c>
      <c r="K146" s="4">
        <v>-2096000</v>
      </c>
      <c r="L146" s="4">
        <v>3917000</v>
      </c>
      <c r="M146" s="5">
        <v>2551000</v>
      </c>
      <c r="N146" s="4">
        <v>747000</v>
      </c>
      <c r="O146" s="4">
        <v>710000</v>
      </c>
      <c r="P146" s="4">
        <v>592000</v>
      </c>
      <c r="Q146" s="4">
        <v>502000</v>
      </c>
    </row>
    <row r="147" spans="1:17" ht="16" x14ac:dyDescent="0.2">
      <c r="A147" s="3" t="s">
        <v>147</v>
      </c>
      <c r="B147" s="4">
        <v>2170000</v>
      </c>
      <c r="C147" s="4">
        <v>841000</v>
      </c>
      <c r="D147" s="4">
        <v>3709000</v>
      </c>
      <c r="E147" s="4">
        <v>613000</v>
      </c>
      <c r="F147" s="4">
        <v>3933000</v>
      </c>
      <c r="G147" s="4">
        <v>-2269000</v>
      </c>
      <c r="H147" s="4">
        <v>8084000</v>
      </c>
      <c r="I147" s="4">
        <v>4489000</v>
      </c>
      <c r="J147" s="4">
        <v>14013000</v>
      </c>
      <c r="K147" s="4">
        <v>-12211000</v>
      </c>
      <c r="L147" s="4">
        <v>7527000</v>
      </c>
      <c r="M147" s="5">
        <v>9287000</v>
      </c>
      <c r="N147" s="4">
        <v>4356000</v>
      </c>
      <c r="O147" s="4">
        <v>1980000</v>
      </c>
      <c r="P147" s="4">
        <v>13903000</v>
      </c>
      <c r="Q147" s="4">
        <v>-10952000</v>
      </c>
    </row>
    <row r="148" spans="1:17" ht="16" x14ac:dyDescent="0.2">
      <c r="A148" s="3" t="s">
        <v>148</v>
      </c>
      <c r="B148" s="4">
        <v>303000</v>
      </c>
      <c r="C148" s="4">
        <v>-152000</v>
      </c>
      <c r="D148" s="4">
        <v>-616000</v>
      </c>
      <c r="E148" s="4">
        <v>-1004000</v>
      </c>
      <c r="F148" s="4">
        <v>205000</v>
      </c>
      <c r="G148" s="4">
        <v>-1368000</v>
      </c>
      <c r="H148" s="4">
        <v>-1197000</v>
      </c>
      <c r="I148" s="4">
        <v>496000</v>
      </c>
      <c r="J148" s="4">
        <v>246000</v>
      </c>
      <c r="K148" s="4">
        <v>-2135000</v>
      </c>
      <c r="L148" s="4">
        <v>-2468000</v>
      </c>
      <c r="M148" s="5">
        <v>-3513000</v>
      </c>
      <c r="N148" s="4">
        <v>-1595000</v>
      </c>
      <c r="O148" s="4">
        <v>-632000</v>
      </c>
      <c r="P148" s="4">
        <v>-676000</v>
      </c>
      <c r="Q148" s="4">
        <v>-610000</v>
      </c>
    </row>
    <row r="149" spans="1:17" ht="16" x14ac:dyDescent="0.2">
      <c r="A149" s="3" t="s">
        <v>149</v>
      </c>
      <c r="B149" s="4" t="s">
        <v>22</v>
      </c>
      <c r="C149" s="4" t="s">
        <v>22</v>
      </c>
      <c r="D149" s="4" t="s">
        <v>22</v>
      </c>
      <c r="E149" s="4" t="s">
        <v>22</v>
      </c>
      <c r="F149" s="4" t="s">
        <v>22</v>
      </c>
      <c r="G149" s="4" t="s">
        <v>22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5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</row>
    <row r="150" spans="1:17" ht="16" x14ac:dyDescent="0.2">
      <c r="A150" s="3" t="s">
        <v>150</v>
      </c>
      <c r="B150" s="4">
        <v>598000</v>
      </c>
      <c r="C150" s="4">
        <v>65000</v>
      </c>
      <c r="D150" s="4">
        <v>-806000</v>
      </c>
      <c r="E150" s="4">
        <v>-216000</v>
      </c>
      <c r="F150" s="4">
        <v>-171000</v>
      </c>
      <c r="G150" s="4">
        <v>-503000</v>
      </c>
      <c r="H150" s="4">
        <v>-178000</v>
      </c>
      <c r="I150" s="4">
        <v>323000</v>
      </c>
      <c r="J150" s="4">
        <v>1089000</v>
      </c>
      <c r="K150" s="4">
        <v>-2659000</v>
      </c>
      <c r="L150" s="4">
        <v>584000</v>
      </c>
      <c r="M150" s="5">
        <v>1753000</v>
      </c>
      <c r="N150" s="4">
        <v>1185000</v>
      </c>
      <c r="O150" s="4">
        <v>572000</v>
      </c>
      <c r="P150" s="4">
        <v>1647000</v>
      </c>
      <c r="Q150" s="4">
        <v>-1651000</v>
      </c>
    </row>
    <row r="151" spans="1:17" ht="16" x14ac:dyDescent="0.2">
      <c r="A151" s="3" t="s">
        <v>151</v>
      </c>
      <c r="B151" s="4">
        <v>-126000</v>
      </c>
      <c r="C151" s="4">
        <v>1483000</v>
      </c>
      <c r="D151" s="4">
        <v>2681000</v>
      </c>
      <c r="E151" s="4">
        <v>1169000</v>
      </c>
      <c r="F151" s="4">
        <v>3648000</v>
      </c>
      <c r="G151" s="4">
        <v>-876000</v>
      </c>
      <c r="H151" s="4">
        <v>6996000</v>
      </c>
      <c r="I151" s="4">
        <v>3086000</v>
      </c>
      <c r="J151" s="4">
        <v>1507000</v>
      </c>
      <c r="K151" s="4">
        <v>-268000</v>
      </c>
      <c r="L151" s="4">
        <v>5102000</v>
      </c>
      <c r="M151" s="5">
        <v>3790000</v>
      </c>
      <c r="N151" s="4">
        <v>-578000</v>
      </c>
      <c r="O151" s="4">
        <v>7896000</v>
      </c>
      <c r="P151" s="4">
        <v>2633000</v>
      </c>
      <c r="Q151" s="4">
        <v>-6161000</v>
      </c>
    </row>
    <row r="152" spans="1:17" ht="16" x14ac:dyDescent="0.2">
      <c r="A152" s="3" t="s">
        <v>152</v>
      </c>
      <c r="B152" s="4">
        <v>1395000</v>
      </c>
      <c r="C152" s="4">
        <v>-555000</v>
      </c>
      <c r="D152" s="4">
        <v>2450000</v>
      </c>
      <c r="E152" s="4">
        <v>664000</v>
      </c>
      <c r="F152" s="4">
        <v>251000</v>
      </c>
      <c r="G152" s="4">
        <v>478000</v>
      </c>
      <c r="H152" s="4">
        <v>2463000</v>
      </c>
      <c r="I152" s="4">
        <v>584000</v>
      </c>
      <c r="J152" s="4">
        <v>11171000</v>
      </c>
      <c r="K152" s="4">
        <v>-7149000</v>
      </c>
      <c r="L152" s="4">
        <v>4309000</v>
      </c>
      <c r="M152" s="5">
        <v>7257000</v>
      </c>
      <c r="N152" s="4">
        <v>5344000</v>
      </c>
      <c r="O152" s="4">
        <v>-5856000</v>
      </c>
      <c r="P152" s="4">
        <v>10299000</v>
      </c>
      <c r="Q152" s="4">
        <v>-2530000</v>
      </c>
    </row>
    <row r="153" spans="1:17" ht="16" x14ac:dyDescent="0.2">
      <c r="A153" s="3" t="s">
        <v>153</v>
      </c>
      <c r="B153" s="4" t="s">
        <v>22</v>
      </c>
      <c r="C153" s="4" t="s">
        <v>22</v>
      </c>
      <c r="D153" s="4" t="s">
        <v>22</v>
      </c>
      <c r="E153" s="4" t="s">
        <v>22</v>
      </c>
      <c r="F153" s="4" t="s">
        <v>22</v>
      </c>
      <c r="G153" s="4" t="s">
        <v>22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5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</row>
    <row r="154" spans="1:17" ht="16" x14ac:dyDescent="0.2">
      <c r="A154" s="3" t="s">
        <v>154</v>
      </c>
      <c r="B154" s="4">
        <v>10421000</v>
      </c>
      <c r="C154" s="4">
        <v>10906000</v>
      </c>
      <c r="D154" s="4">
        <v>14370000</v>
      </c>
      <c r="E154" s="4">
        <v>13047000</v>
      </c>
      <c r="F154" s="4">
        <v>22166000</v>
      </c>
      <c r="G154" s="4">
        <v>27049000</v>
      </c>
      <c r="H154" s="4">
        <v>38770000</v>
      </c>
      <c r="I154" s="4">
        <v>38583000</v>
      </c>
      <c r="J154" s="4">
        <v>65530000</v>
      </c>
      <c r="K154" s="4">
        <v>48878000</v>
      </c>
      <c r="L154" s="4">
        <v>76238000</v>
      </c>
      <c r="M154" s="5">
        <v>94741000</v>
      </c>
      <c r="N154" s="4">
        <v>23694000</v>
      </c>
      <c r="O154" s="4">
        <v>23080000</v>
      </c>
      <c r="P154" s="4">
        <v>35698000</v>
      </c>
      <c r="Q154" s="4">
        <v>12269000</v>
      </c>
    </row>
    <row r="155" spans="1:17" ht="16" x14ac:dyDescent="0.2">
      <c r="A155" s="3" t="s">
        <v>155</v>
      </c>
      <c r="B155" s="4" t="s">
        <v>22</v>
      </c>
      <c r="C155" s="4" t="s">
        <v>22</v>
      </c>
      <c r="D155" s="4" t="s">
        <v>22</v>
      </c>
      <c r="E155" s="4" t="s">
        <v>22</v>
      </c>
      <c r="F155" s="4" t="s">
        <v>22</v>
      </c>
      <c r="G155" s="4" t="s">
        <v>22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5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</row>
    <row r="156" spans="1:17" ht="16" x14ac:dyDescent="0.2">
      <c r="A156" s="3" t="s">
        <v>156</v>
      </c>
      <c r="B156" s="4" t="s">
        <v>22</v>
      </c>
      <c r="C156" s="4" t="s">
        <v>22</v>
      </c>
      <c r="D156" s="4" t="s">
        <v>22</v>
      </c>
      <c r="E156" s="4" t="s">
        <v>22</v>
      </c>
      <c r="F156" s="4" t="s">
        <v>22</v>
      </c>
      <c r="G156" s="4" t="s">
        <v>22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5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</row>
    <row r="157" spans="1:17" ht="16" x14ac:dyDescent="0.2">
      <c r="A157" s="3" t="s">
        <v>157</v>
      </c>
      <c r="B157" s="4" t="s">
        <v>22</v>
      </c>
      <c r="C157" s="4" t="s">
        <v>22</v>
      </c>
      <c r="D157" s="4" t="s">
        <v>22</v>
      </c>
      <c r="E157" s="4" t="s">
        <v>22</v>
      </c>
      <c r="F157" s="4" t="s">
        <v>22</v>
      </c>
      <c r="G157" s="4" t="s">
        <v>22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5" t="s">
        <v>22</v>
      </c>
      <c r="N157" s="4" t="s">
        <v>22</v>
      </c>
      <c r="O157" s="4" t="s">
        <v>22</v>
      </c>
      <c r="P157" s="4" t="s">
        <v>22</v>
      </c>
      <c r="Q157" s="4" t="s">
        <v>22</v>
      </c>
    </row>
    <row r="158" spans="1:17" ht="16" x14ac:dyDescent="0.2">
      <c r="A158" s="3" t="s">
        <v>158</v>
      </c>
      <c r="B158" s="4" t="s">
        <v>22</v>
      </c>
      <c r="C158" s="4" t="s">
        <v>22</v>
      </c>
      <c r="D158" s="4" t="s">
        <v>22</v>
      </c>
      <c r="E158" s="4" t="s">
        <v>22</v>
      </c>
      <c r="F158" s="4" t="s">
        <v>22</v>
      </c>
      <c r="G158" s="4" t="s">
        <v>22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5" t="s">
        <v>22</v>
      </c>
      <c r="N158" s="4" t="s">
        <v>22</v>
      </c>
      <c r="O158" s="4" t="s">
        <v>22</v>
      </c>
      <c r="P158" s="4" t="s">
        <v>22</v>
      </c>
      <c r="Q158" s="4" t="s">
        <v>22</v>
      </c>
    </row>
    <row r="159" spans="1:17" ht="16" x14ac:dyDescent="0.2">
      <c r="A159" s="3" t="s">
        <v>159</v>
      </c>
      <c r="B159" s="4">
        <v>-1617000</v>
      </c>
      <c r="C159" s="4">
        <v>-2146000</v>
      </c>
      <c r="D159" s="4">
        <v>-1510000</v>
      </c>
      <c r="E159" s="4">
        <v>-1915000</v>
      </c>
      <c r="F159" s="4">
        <v>-2056000</v>
      </c>
      <c r="G159" s="4">
        <v>-2535000</v>
      </c>
      <c r="H159" s="4">
        <v>-3982000</v>
      </c>
      <c r="I159" s="4">
        <v>-22486000</v>
      </c>
      <c r="J159" s="4">
        <v>-6052000</v>
      </c>
      <c r="K159" s="4">
        <v>-28021000</v>
      </c>
      <c r="L159" s="4">
        <v>-23940000</v>
      </c>
      <c r="M159" s="5">
        <v>-28247000</v>
      </c>
      <c r="N159" s="4">
        <v>-6266000</v>
      </c>
      <c r="O159" s="4">
        <v>-4979000</v>
      </c>
      <c r="P159" s="4">
        <v>-4319000</v>
      </c>
      <c r="Q159" s="4">
        <v>-12683000</v>
      </c>
    </row>
    <row r="160" spans="1:17" ht="16" x14ac:dyDescent="0.2">
      <c r="A160" s="3" t="s">
        <v>160</v>
      </c>
      <c r="B160" s="4">
        <v>-1617000</v>
      </c>
      <c r="C160" s="4">
        <v>-2146000</v>
      </c>
      <c r="D160" s="4">
        <v>-1510000</v>
      </c>
      <c r="E160" s="4">
        <v>-1915000</v>
      </c>
      <c r="F160" s="4">
        <v>-2056000</v>
      </c>
      <c r="G160" s="4">
        <v>-2535000</v>
      </c>
      <c r="H160" s="4">
        <v>-3982000</v>
      </c>
      <c r="I160" s="4">
        <v>-22486000</v>
      </c>
      <c r="J160" s="4">
        <v>-6052000</v>
      </c>
      <c r="K160" s="4">
        <v>-28021000</v>
      </c>
      <c r="L160" s="4">
        <v>-23940000</v>
      </c>
      <c r="M160" s="5">
        <v>-28247000</v>
      </c>
      <c r="N160" s="4">
        <v>-6266000</v>
      </c>
      <c r="O160" s="4">
        <v>-4979000</v>
      </c>
      <c r="P160" s="4">
        <v>-4319000</v>
      </c>
      <c r="Q160" s="4">
        <v>-12683000</v>
      </c>
    </row>
    <row r="161" spans="1:17" ht="16" x14ac:dyDescent="0.2">
      <c r="A161" s="3" t="s">
        <v>161</v>
      </c>
      <c r="B161" s="4" t="s">
        <v>22</v>
      </c>
      <c r="C161" s="4" t="s">
        <v>22</v>
      </c>
      <c r="D161" s="4" t="s">
        <v>22</v>
      </c>
      <c r="E161" s="4" t="s">
        <v>22</v>
      </c>
      <c r="F161" s="4" t="s">
        <v>22</v>
      </c>
      <c r="G161" s="4" t="s">
        <v>22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5" t="s">
        <v>22</v>
      </c>
      <c r="N161" s="4" t="s">
        <v>22</v>
      </c>
      <c r="O161" s="4" t="s">
        <v>22</v>
      </c>
      <c r="P161" s="4" t="s">
        <v>22</v>
      </c>
      <c r="Q161" s="4" t="s">
        <v>22</v>
      </c>
    </row>
    <row r="162" spans="1:17" ht="16" x14ac:dyDescent="0.2">
      <c r="A162" s="3" t="s">
        <v>162</v>
      </c>
      <c r="B162" s="4" t="s">
        <v>22</v>
      </c>
      <c r="C162" s="4" t="s">
        <v>22</v>
      </c>
      <c r="D162" s="4" t="s">
        <v>22</v>
      </c>
      <c r="E162" s="4" t="s">
        <v>22</v>
      </c>
      <c r="F162" s="4" t="s">
        <v>22</v>
      </c>
      <c r="G162" s="4" t="s">
        <v>22</v>
      </c>
      <c r="H162" s="4" t="s">
        <v>22</v>
      </c>
      <c r="I162" s="4" t="s">
        <v>22</v>
      </c>
      <c r="J162" s="4" t="s">
        <v>22</v>
      </c>
      <c r="K162" s="4">
        <v>-4163000</v>
      </c>
      <c r="L162" s="4">
        <v>-997000</v>
      </c>
      <c r="M162" s="5">
        <v>-997000</v>
      </c>
      <c r="N162" s="4" t="s">
        <v>22</v>
      </c>
      <c r="O162" s="4">
        <v>-997000</v>
      </c>
      <c r="P162" s="4" t="s">
        <v>22</v>
      </c>
      <c r="Q162" s="4" t="s">
        <v>22</v>
      </c>
    </row>
    <row r="163" spans="1:17" ht="16" x14ac:dyDescent="0.2">
      <c r="A163" s="3" t="s">
        <v>163</v>
      </c>
      <c r="B163" s="4" t="s">
        <v>22</v>
      </c>
      <c r="C163" s="4" t="s">
        <v>22</v>
      </c>
      <c r="D163" s="4" t="s">
        <v>22</v>
      </c>
      <c r="E163" s="4" t="s">
        <v>22</v>
      </c>
      <c r="F163" s="4" t="s">
        <v>22</v>
      </c>
      <c r="G163" s="4" t="s">
        <v>22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5" t="s">
        <v>22</v>
      </c>
      <c r="N163" s="4" t="s">
        <v>22</v>
      </c>
      <c r="O163" s="4" t="s">
        <v>22</v>
      </c>
      <c r="P163" s="4" t="s">
        <v>22</v>
      </c>
      <c r="Q163" s="4" t="s">
        <v>22</v>
      </c>
    </row>
    <row r="164" spans="1:17" ht="16" x14ac:dyDescent="0.2">
      <c r="A164" s="3" t="s">
        <v>164</v>
      </c>
      <c r="B164" s="4" t="s">
        <v>22</v>
      </c>
      <c r="C164" s="4" t="s">
        <v>22</v>
      </c>
      <c r="D164" s="4" t="s">
        <v>22</v>
      </c>
      <c r="E164" s="4" t="s">
        <v>22</v>
      </c>
      <c r="F164" s="4" t="s">
        <v>22</v>
      </c>
      <c r="G164" s="4" t="s">
        <v>22</v>
      </c>
      <c r="H164" s="4" t="s">
        <v>22</v>
      </c>
      <c r="I164" s="4" t="s">
        <v>22</v>
      </c>
      <c r="J164" s="4" t="s">
        <v>22</v>
      </c>
      <c r="K164" s="4">
        <v>-4163000</v>
      </c>
      <c r="L164" s="4">
        <v>-997000</v>
      </c>
      <c r="M164" s="5">
        <v>-997000</v>
      </c>
      <c r="N164" s="4" t="s">
        <v>22</v>
      </c>
      <c r="O164" s="4">
        <v>-997000</v>
      </c>
      <c r="P164" s="4" t="s">
        <v>22</v>
      </c>
      <c r="Q164" s="4" t="s">
        <v>22</v>
      </c>
    </row>
    <row r="165" spans="1:17" ht="16" x14ac:dyDescent="0.2">
      <c r="A165" s="3" t="s">
        <v>165</v>
      </c>
      <c r="B165" s="4" t="s">
        <v>22</v>
      </c>
      <c r="C165" s="4" t="s">
        <v>22</v>
      </c>
      <c r="D165" s="4" t="s">
        <v>22</v>
      </c>
      <c r="E165" s="4" t="s">
        <v>22</v>
      </c>
      <c r="F165" s="4" t="s">
        <v>22</v>
      </c>
      <c r="G165" s="4">
        <v>-3949000</v>
      </c>
      <c r="H165" s="4">
        <v>-6516000</v>
      </c>
      <c r="I165" s="4">
        <v>-1245000</v>
      </c>
      <c r="J165" s="4">
        <v>-6735000</v>
      </c>
      <c r="K165" s="4">
        <v>-4876000</v>
      </c>
      <c r="L165" s="4">
        <v>-7809000</v>
      </c>
      <c r="M165" s="5">
        <v>-6071000</v>
      </c>
      <c r="N165" s="4" t="s">
        <v>22</v>
      </c>
      <c r="O165" s="4">
        <v>-6071000</v>
      </c>
      <c r="P165" s="4" t="s">
        <v>22</v>
      </c>
      <c r="Q165" s="4" t="s">
        <v>22</v>
      </c>
    </row>
    <row r="166" spans="1:17" ht="16" x14ac:dyDescent="0.2">
      <c r="A166" s="3" t="s">
        <v>166</v>
      </c>
      <c r="B166" s="4" t="s">
        <v>22</v>
      </c>
      <c r="C166" s="4" t="s">
        <v>22</v>
      </c>
      <c r="D166" s="4" t="s">
        <v>22</v>
      </c>
      <c r="E166" s="4" t="s">
        <v>22</v>
      </c>
      <c r="F166" s="4" t="s">
        <v>22</v>
      </c>
      <c r="G166" s="4" t="s">
        <v>22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5" t="s">
        <v>22</v>
      </c>
      <c r="N166" s="4" t="s">
        <v>22</v>
      </c>
      <c r="O166" s="4" t="s">
        <v>22</v>
      </c>
      <c r="P166" s="4" t="s">
        <v>22</v>
      </c>
      <c r="Q166" s="4" t="s">
        <v>22</v>
      </c>
    </row>
    <row r="167" spans="1:17" ht="16" x14ac:dyDescent="0.2">
      <c r="A167" s="3" t="s">
        <v>167</v>
      </c>
      <c r="B167" s="4" t="s">
        <v>22</v>
      </c>
      <c r="C167" s="4" t="s">
        <v>22</v>
      </c>
      <c r="D167" s="4" t="s">
        <v>22</v>
      </c>
      <c r="E167" s="4" t="s">
        <v>22</v>
      </c>
      <c r="F167" s="4" t="s">
        <v>22</v>
      </c>
      <c r="G167" s="4">
        <v>-3949000</v>
      </c>
      <c r="H167" s="4">
        <v>-6516000</v>
      </c>
      <c r="I167" s="4">
        <v>-1245000</v>
      </c>
      <c r="J167" s="4">
        <v>-6735000</v>
      </c>
      <c r="K167" s="4">
        <v>-4876000</v>
      </c>
      <c r="L167" s="4">
        <v>-7809000</v>
      </c>
      <c r="M167" s="5">
        <v>-6071000</v>
      </c>
      <c r="N167" s="4" t="s">
        <v>22</v>
      </c>
      <c r="O167" s="4">
        <v>-6071000</v>
      </c>
      <c r="P167" s="4" t="s">
        <v>22</v>
      </c>
      <c r="Q167" s="4" t="s">
        <v>22</v>
      </c>
    </row>
    <row r="168" spans="1:17" ht="16" x14ac:dyDescent="0.2">
      <c r="A168" s="3" t="s">
        <v>168</v>
      </c>
      <c r="B168" s="4" t="s">
        <v>22</v>
      </c>
      <c r="C168" s="4" t="s">
        <v>22</v>
      </c>
      <c r="D168" s="4" t="s">
        <v>22</v>
      </c>
      <c r="E168" s="4" t="s">
        <v>22</v>
      </c>
      <c r="F168" s="4" t="s">
        <v>22</v>
      </c>
      <c r="G168" s="4" t="s">
        <v>22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5" t="s">
        <v>22</v>
      </c>
      <c r="N168" s="4" t="s">
        <v>22</v>
      </c>
      <c r="O168" s="4" t="s">
        <v>22</v>
      </c>
      <c r="P168" s="4" t="s">
        <v>22</v>
      </c>
      <c r="Q168" s="4" t="s">
        <v>22</v>
      </c>
    </row>
    <row r="169" spans="1:17" ht="16" x14ac:dyDescent="0.2">
      <c r="A169" s="3" t="s">
        <v>169</v>
      </c>
      <c r="B169" s="4">
        <v>170000</v>
      </c>
      <c r="C169" s="4">
        <v>2000</v>
      </c>
      <c r="D169" s="4">
        <v>1147000</v>
      </c>
      <c r="E169" s="4" t="s">
        <v>22</v>
      </c>
      <c r="F169" s="4" t="s">
        <v>22</v>
      </c>
      <c r="G169" s="4" t="s">
        <v>22</v>
      </c>
      <c r="H169" s="4" t="s">
        <v>22</v>
      </c>
      <c r="I169" s="4" t="s">
        <v>22</v>
      </c>
      <c r="J169" s="4">
        <v>4800000</v>
      </c>
      <c r="K169" s="4">
        <v>7207000</v>
      </c>
      <c r="L169" s="4">
        <v>4063000</v>
      </c>
      <c r="M169" s="5">
        <v>-6516000</v>
      </c>
      <c r="N169" s="4">
        <v>-1312000</v>
      </c>
      <c r="O169" s="4" t="s">
        <v>22</v>
      </c>
      <c r="P169" s="4" t="s">
        <v>22</v>
      </c>
      <c r="Q169" s="4">
        <v>-5204000</v>
      </c>
    </row>
    <row r="170" spans="1:17" ht="16" x14ac:dyDescent="0.2">
      <c r="A170" s="3" t="s">
        <v>153</v>
      </c>
      <c r="B170" s="4" t="s">
        <v>22</v>
      </c>
      <c r="C170" s="4" t="s">
        <v>22</v>
      </c>
      <c r="D170" s="4" t="s">
        <v>22</v>
      </c>
      <c r="E170" s="4" t="s">
        <v>22</v>
      </c>
      <c r="F170" s="4" t="s">
        <v>22</v>
      </c>
      <c r="G170" s="4" t="s">
        <v>22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5" t="s">
        <v>22</v>
      </c>
      <c r="N170" s="4" t="s">
        <v>22</v>
      </c>
      <c r="O170" s="4" t="s">
        <v>22</v>
      </c>
      <c r="P170" s="4" t="s">
        <v>22</v>
      </c>
      <c r="Q170" s="4" t="s">
        <v>22</v>
      </c>
    </row>
    <row r="171" spans="1:17" ht="16" x14ac:dyDescent="0.2">
      <c r="A171" s="3" t="s">
        <v>170</v>
      </c>
      <c r="B171" s="4">
        <v>-1447000</v>
      </c>
      <c r="C171" s="4">
        <v>-2144000</v>
      </c>
      <c r="D171" s="4">
        <v>-363000</v>
      </c>
      <c r="E171" s="4">
        <v>-1915000</v>
      </c>
      <c r="F171" s="4">
        <v>-2056000</v>
      </c>
      <c r="G171" s="4">
        <v>-6484000</v>
      </c>
      <c r="H171" s="4">
        <v>-10498000</v>
      </c>
      <c r="I171" s="4">
        <v>-23731000</v>
      </c>
      <c r="J171" s="4">
        <v>-7987000</v>
      </c>
      <c r="K171" s="4">
        <v>-29853000</v>
      </c>
      <c r="L171" s="4">
        <v>-28683000</v>
      </c>
      <c r="M171" s="5">
        <v>-41831000</v>
      </c>
      <c r="N171" s="4">
        <v>-7578000</v>
      </c>
      <c r="O171" s="4">
        <v>-12047000</v>
      </c>
      <c r="P171" s="4">
        <v>-4319000</v>
      </c>
      <c r="Q171" s="4">
        <v>-17887000</v>
      </c>
    </row>
    <row r="172" spans="1:17" ht="16" x14ac:dyDescent="0.2">
      <c r="A172" s="3" t="s">
        <v>171</v>
      </c>
      <c r="B172" s="4">
        <v>-19281000</v>
      </c>
      <c r="C172" s="4">
        <v>-38528000</v>
      </c>
      <c r="D172" s="4" t="s">
        <v>22</v>
      </c>
      <c r="E172" s="4">
        <v>-47999000</v>
      </c>
      <c r="F172" s="4">
        <v>-83268000</v>
      </c>
      <c r="G172" s="4">
        <v>-4070000</v>
      </c>
      <c r="H172" s="4">
        <v>-190737000</v>
      </c>
      <c r="I172" s="4">
        <v>-11742000</v>
      </c>
      <c r="J172" s="4">
        <v>-163792000</v>
      </c>
      <c r="K172" s="4">
        <v>-19822000</v>
      </c>
      <c r="L172" s="4">
        <v>-141279000</v>
      </c>
      <c r="M172" s="5">
        <v>-23209000</v>
      </c>
      <c r="N172" s="4">
        <v>-5681000</v>
      </c>
      <c r="O172" s="4">
        <v>-5692000</v>
      </c>
      <c r="P172" s="4">
        <v>-6081000</v>
      </c>
      <c r="Q172" s="4">
        <v>-5755000</v>
      </c>
    </row>
    <row r="173" spans="1:17" ht="16" x14ac:dyDescent="0.2">
      <c r="A173" s="3" t="s">
        <v>172</v>
      </c>
      <c r="B173" s="4">
        <v>12000000</v>
      </c>
      <c r="C173" s="4">
        <v>30500000</v>
      </c>
      <c r="D173" s="4">
        <v>-8779000</v>
      </c>
      <c r="E173" s="4">
        <v>1782000</v>
      </c>
      <c r="F173" s="4">
        <v>55750000</v>
      </c>
      <c r="G173" s="4">
        <v>-17500000</v>
      </c>
      <c r="H173" s="4">
        <v>186250000</v>
      </c>
      <c r="I173" s="4">
        <v>-2400000</v>
      </c>
      <c r="J173" s="4">
        <v>162400000</v>
      </c>
      <c r="K173" s="4">
        <v>-2400000</v>
      </c>
      <c r="L173" s="4">
        <v>246975000</v>
      </c>
      <c r="M173" s="5">
        <v>-4850000</v>
      </c>
      <c r="N173" s="4">
        <v>-1200000</v>
      </c>
      <c r="O173" s="4">
        <v>-1825000</v>
      </c>
      <c r="P173" s="4">
        <v>-1825000</v>
      </c>
      <c r="Q173" s="4" t="s">
        <v>22</v>
      </c>
    </row>
    <row r="174" spans="1:17" ht="16" x14ac:dyDescent="0.2">
      <c r="A174" s="3" t="s">
        <v>173</v>
      </c>
      <c r="B174" s="4">
        <v>14250000</v>
      </c>
      <c r="C174" s="4">
        <v>33200000</v>
      </c>
      <c r="D174" s="4" t="s">
        <v>22</v>
      </c>
      <c r="E174" s="4">
        <v>40000000</v>
      </c>
      <c r="F174" s="4">
        <v>165000000</v>
      </c>
      <c r="G174" s="4">
        <v>3500000</v>
      </c>
      <c r="H174" s="4">
        <v>551108000</v>
      </c>
      <c r="I174" s="4">
        <v>5000000</v>
      </c>
      <c r="J174" s="4">
        <v>496000000</v>
      </c>
      <c r="K174" s="4" t="s">
        <v>22</v>
      </c>
      <c r="L174" s="4">
        <v>250000000</v>
      </c>
      <c r="M174" s="5" t="s">
        <v>22</v>
      </c>
      <c r="N174" s="4" t="s">
        <v>22</v>
      </c>
      <c r="O174" s="4" t="s">
        <v>22</v>
      </c>
      <c r="P174" s="4" t="s">
        <v>22</v>
      </c>
      <c r="Q174" s="4" t="s">
        <v>22</v>
      </c>
    </row>
    <row r="175" spans="1:17" ht="16" x14ac:dyDescent="0.2">
      <c r="A175" s="3" t="s">
        <v>174</v>
      </c>
      <c r="B175" s="4">
        <v>-2250000</v>
      </c>
      <c r="C175" s="4">
        <v>-2700000</v>
      </c>
      <c r="D175" s="4">
        <v>-8779000</v>
      </c>
      <c r="E175" s="4">
        <v>-38218000</v>
      </c>
      <c r="F175" s="4">
        <v>-109250000</v>
      </c>
      <c r="G175" s="4">
        <v>-21000000</v>
      </c>
      <c r="H175" s="4">
        <v>-364858000</v>
      </c>
      <c r="I175" s="4">
        <v>-7400000</v>
      </c>
      <c r="J175" s="4">
        <v>-333600000</v>
      </c>
      <c r="K175" s="4">
        <v>-2400000</v>
      </c>
      <c r="L175" s="4">
        <v>-3025000</v>
      </c>
      <c r="M175" s="5">
        <v>-4850000</v>
      </c>
      <c r="N175" s="4">
        <v>-1200000</v>
      </c>
      <c r="O175" s="4">
        <v>-1825000</v>
      </c>
      <c r="P175" s="4">
        <v>-1825000</v>
      </c>
      <c r="Q175" s="4" t="s">
        <v>22</v>
      </c>
    </row>
    <row r="176" spans="1:17" ht="16" x14ac:dyDescent="0.2">
      <c r="A176" s="3" t="s">
        <v>175</v>
      </c>
      <c r="B176" s="4" t="s">
        <v>22</v>
      </c>
      <c r="C176" s="4" t="s">
        <v>22</v>
      </c>
      <c r="D176" s="4" t="s">
        <v>22</v>
      </c>
      <c r="E176" s="4">
        <v>34988000</v>
      </c>
      <c r="F176" s="4" t="s">
        <v>22</v>
      </c>
      <c r="G176" s="4" t="s">
        <v>22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5" t="s">
        <v>22</v>
      </c>
      <c r="N176" s="4" t="s">
        <v>22</v>
      </c>
      <c r="O176" s="4" t="s">
        <v>22</v>
      </c>
      <c r="P176" s="4" t="s">
        <v>22</v>
      </c>
      <c r="Q176" s="4" t="s">
        <v>22</v>
      </c>
    </row>
    <row r="177" spans="1:17" ht="16" x14ac:dyDescent="0.2">
      <c r="A177" s="3" t="s">
        <v>176</v>
      </c>
      <c r="B177" s="4" t="s">
        <v>22</v>
      </c>
      <c r="C177" s="4" t="s">
        <v>22</v>
      </c>
      <c r="D177" s="4" t="s">
        <v>22</v>
      </c>
      <c r="E177" s="4">
        <v>34988000</v>
      </c>
      <c r="F177" s="4" t="s">
        <v>22</v>
      </c>
      <c r="G177" s="4" t="s">
        <v>22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5" t="s">
        <v>22</v>
      </c>
      <c r="N177" s="4" t="s">
        <v>22</v>
      </c>
      <c r="O177" s="4" t="s">
        <v>22</v>
      </c>
      <c r="P177" s="4" t="s">
        <v>22</v>
      </c>
      <c r="Q177" s="4" t="s">
        <v>22</v>
      </c>
    </row>
    <row r="178" spans="1:17" ht="16" x14ac:dyDescent="0.2">
      <c r="A178" s="3" t="s">
        <v>177</v>
      </c>
      <c r="B178" s="4" t="s">
        <v>22</v>
      </c>
      <c r="C178" s="4" t="s">
        <v>22</v>
      </c>
      <c r="D178" s="4" t="s">
        <v>22</v>
      </c>
      <c r="E178" s="4" t="s">
        <v>22</v>
      </c>
      <c r="F178" s="4" t="s">
        <v>22</v>
      </c>
      <c r="G178" s="4" t="s">
        <v>22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5" t="s">
        <v>22</v>
      </c>
      <c r="N178" s="4" t="s">
        <v>22</v>
      </c>
      <c r="O178" s="4" t="s">
        <v>22</v>
      </c>
      <c r="P178" s="4" t="s">
        <v>22</v>
      </c>
      <c r="Q178" s="4" t="s">
        <v>22</v>
      </c>
    </row>
    <row r="179" spans="1:17" ht="16" x14ac:dyDescent="0.2">
      <c r="A179" s="3" t="s">
        <v>178</v>
      </c>
      <c r="B179" s="4">
        <v>379000</v>
      </c>
      <c r="C179" s="4">
        <v>-1814000</v>
      </c>
      <c r="D179" s="4">
        <v>1322000</v>
      </c>
      <c r="E179" s="4">
        <v>1064000</v>
      </c>
      <c r="F179" s="4">
        <v>468000</v>
      </c>
      <c r="G179" s="4">
        <v>1318000</v>
      </c>
      <c r="H179" s="4">
        <v>-9237000</v>
      </c>
      <c r="I179" s="4">
        <v>-475000</v>
      </c>
      <c r="J179" s="4">
        <v>-18056000</v>
      </c>
      <c r="K179" s="4">
        <v>-1167000</v>
      </c>
      <c r="L179" s="4">
        <v>-2442000</v>
      </c>
      <c r="M179" s="5">
        <v>-2374000</v>
      </c>
      <c r="N179" s="4" t="s">
        <v>22</v>
      </c>
      <c r="O179" s="4">
        <v>1339000</v>
      </c>
      <c r="P179" s="4">
        <v>-2181000</v>
      </c>
      <c r="Q179" s="4">
        <v>-1532000</v>
      </c>
    </row>
    <row r="180" spans="1:17" ht="16" x14ac:dyDescent="0.2">
      <c r="A180" s="3" t="s">
        <v>153</v>
      </c>
      <c r="B180" s="4" t="s">
        <v>22</v>
      </c>
      <c r="C180" s="4" t="s">
        <v>22</v>
      </c>
      <c r="D180" s="4" t="s">
        <v>22</v>
      </c>
      <c r="E180" s="4" t="s">
        <v>22</v>
      </c>
      <c r="F180" s="4" t="s">
        <v>22</v>
      </c>
      <c r="G180" s="4" t="s">
        <v>22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5" t="s">
        <v>22</v>
      </c>
      <c r="N180" s="4" t="s">
        <v>22</v>
      </c>
      <c r="O180" s="4" t="s">
        <v>22</v>
      </c>
      <c r="P180" s="4" t="s">
        <v>22</v>
      </c>
      <c r="Q180" s="4" t="s">
        <v>22</v>
      </c>
    </row>
    <row r="181" spans="1:17" ht="16" x14ac:dyDescent="0.2">
      <c r="A181" s="3" t="s">
        <v>179</v>
      </c>
      <c r="B181" s="4">
        <v>-6902000</v>
      </c>
      <c r="C181" s="4">
        <v>-9842000</v>
      </c>
      <c r="D181" s="4">
        <v>-7457000</v>
      </c>
      <c r="E181" s="4">
        <v>-10165000</v>
      </c>
      <c r="F181" s="4">
        <v>-27050000</v>
      </c>
      <c r="G181" s="4">
        <v>-20252000</v>
      </c>
      <c r="H181" s="4">
        <v>-13724000</v>
      </c>
      <c r="I181" s="4">
        <v>-14617000</v>
      </c>
      <c r="J181" s="4">
        <v>-19448000</v>
      </c>
      <c r="K181" s="4">
        <v>-23389000</v>
      </c>
      <c r="L181" s="4">
        <v>103254000</v>
      </c>
      <c r="M181" s="5">
        <v>-30433000</v>
      </c>
      <c r="N181" s="4">
        <v>-6881000</v>
      </c>
      <c r="O181" s="4">
        <v>-6178000</v>
      </c>
      <c r="P181" s="4">
        <v>-10087000</v>
      </c>
      <c r="Q181" s="4">
        <v>-7287000</v>
      </c>
    </row>
    <row r="182" spans="1:17" ht="16" x14ac:dyDescent="0.2">
      <c r="A182" s="3" t="s">
        <v>180</v>
      </c>
      <c r="B182" s="4" t="s">
        <v>22</v>
      </c>
      <c r="C182" s="4" t="s">
        <v>22</v>
      </c>
      <c r="D182" s="4" t="s">
        <v>22</v>
      </c>
      <c r="E182" s="4" t="s">
        <v>22</v>
      </c>
      <c r="F182" s="4" t="s">
        <v>22</v>
      </c>
      <c r="G182" s="4" t="s">
        <v>22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5" t="s">
        <v>22</v>
      </c>
      <c r="N182" s="4" t="s">
        <v>22</v>
      </c>
      <c r="O182" s="4" t="s">
        <v>22</v>
      </c>
      <c r="P182" s="4" t="s">
        <v>22</v>
      </c>
      <c r="Q182" s="4" t="s">
        <v>22</v>
      </c>
    </row>
    <row r="183" spans="1:17" ht="16" x14ac:dyDescent="0.2">
      <c r="A183" s="3" t="s">
        <v>181</v>
      </c>
      <c r="B183" s="4">
        <v>2072000</v>
      </c>
      <c r="C183" s="4">
        <v>-1080000</v>
      </c>
      <c r="D183" s="4">
        <v>6550000</v>
      </c>
      <c r="E183" s="4">
        <v>967000</v>
      </c>
      <c r="F183" s="4">
        <v>-6940000</v>
      </c>
      <c r="G183" s="4">
        <v>313000</v>
      </c>
      <c r="H183" s="4">
        <v>14548000</v>
      </c>
      <c r="I183" s="4">
        <v>235000</v>
      </c>
      <c r="J183" s="4">
        <v>38095000</v>
      </c>
      <c r="K183" s="4">
        <v>-4364000</v>
      </c>
      <c r="L183" s="4">
        <v>150809000</v>
      </c>
      <c r="M183" s="5">
        <v>22477000</v>
      </c>
      <c r="N183" s="4">
        <v>9235000</v>
      </c>
      <c r="O183" s="4">
        <v>4855000</v>
      </c>
      <c r="P183" s="4">
        <v>21292000</v>
      </c>
      <c r="Q183" s="4">
        <v>-12905000</v>
      </c>
    </row>
    <row r="184" spans="1:17" ht="16" x14ac:dyDescent="0.2">
      <c r="A184" s="3" t="s">
        <v>52</v>
      </c>
      <c r="B184" s="4">
        <v>14433000</v>
      </c>
      <c r="C184" s="4">
        <v>17910000</v>
      </c>
      <c r="D184" s="4">
        <v>20970000</v>
      </c>
      <c r="E184" s="4">
        <v>22400000</v>
      </c>
      <c r="F184" s="4">
        <v>32211000</v>
      </c>
      <c r="G184" s="4">
        <v>39656000</v>
      </c>
      <c r="H184" s="4">
        <v>42840000</v>
      </c>
      <c r="I184" s="4">
        <v>48385000</v>
      </c>
      <c r="J184" s="4">
        <v>61815000</v>
      </c>
      <c r="K184" s="4">
        <v>78202000</v>
      </c>
      <c r="L184" s="4">
        <v>103061000</v>
      </c>
      <c r="M184" s="5">
        <v>117753000</v>
      </c>
      <c r="N184" s="4">
        <v>27156000</v>
      </c>
      <c r="O184" s="4">
        <v>32185000</v>
      </c>
      <c r="P184" s="4">
        <v>28738000</v>
      </c>
      <c r="Q184" s="4">
        <v>29674000</v>
      </c>
    </row>
    <row r="185" spans="1:17" ht="16" x14ac:dyDescent="0.2">
      <c r="A185" s="3" t="s">
        <v>53</v>
      </c>
      <c r="B185" s="6">
        <v>27.98</v>
      </c>
      <c r="C185" s="6">
        <v>30.36</v>
      </c>
      <c r="D185" s="6">
        <v>31.09</v>
      </c>
      <c r="E185" s="6">
        <v>28.73</v>
      </c>
      <c r="F185" s="6">
        <v>35.26</v>
      </c>
      <c r="G185" s="6">
        <v>37.57</v>
      </c>
      <c r="H185" s="6">
        <v>27.97</v>
      </c>
      <c r="I185" s="6">
        <v>24.23</v>
      </c>
      <c r="J185" s="6">
        <v>24.84</v>
      </c>
      <c r="K185" s="6">
        <v>27.68</v>
      </c>
      <c r="L185" s="6">
        <v>28.83</v>
      </c>
      <c r="M185" s="7">
        <v>28.48</v>
      </c>
      <c r="N185" s="6">
        <v>27.27</v>
      </c>
      <c r="O185" s="6">
        <v>29.05</v>
      </c>
      <c r="P185" s="6">
        <v>29.05</v>
      </c>
      <c r="Q185" s="6">
        <v>28.48</v>
      </c>
    </row>
    <row r="186" spans="1:17" ht="16" x14ac:dyDescent="0.2">
      <c r="A186" s="3" t="s">
        <v>182</v>
      </c>
      <c r="B186" s="4" t="s">
        <v>22</v>
      </c>
      <c r="C186" s="4" t="s">
        <v>22</v>
      </c>
      <c r="D186" s="4" t="s">
        <v>22</v>
      </c>
      <c r="E186" s="4" t="s">
        <v>22</v>
      </c>
      <c r="F186" s="4" t="s">
        <v>22</v>
      </c>
      <c r="G186" s="4">
        <v>3949000</v>
      </c>
      <c r="H186" s="4">
        <v>6516000</v>
      </c>
      <c r="I186" s="4">
        <v>1245000</v>
      </c>
      <c r="J186" s="4">
        <v>6735000</v>
      </c>
      <c r="K186" s="4">
        <v>4876000</v>
      </c>
      <c r="L186" s="4">
        <v>7809000</v>
      </c>
      <c r="M186" s="5">
        <v>6071000</v>
      </c>
      <c r="N186" s="4" t="s">
        <v>22</v>
      </c>
      <c r="O186" s="4">
        <v>6071000</v>
      </c>
      <c r="P186" s="4" t="s">
        <v>22</v>
      </c>
      <c r="Q186" s="4" t="s">
        <v>22</v>
      </c>
    </row>
    <row r="187" spans="1:17" ht="16" x14ac:dyDescent="0.2">
      <c r="A187" s="3" t="s">
        <v>183</v>
      </c>
      <c r="B187" s="4">
        <v>8804000</v>
      </c>
      <c r="C187" s="4">
        <v>8760000</v>
      </c>
      <c r="D187" s="4">
        <v>12860000</v>
      </c>
      <c r="E187" s="4">
        <v>11132000</v>
      </c>
      <c r="F187" s="4">
        <v>20110000</v>
      </c>
      <c r="G187" s="4">
        <v>24514000</v>
      </c>
      <c r="H187" s="4">
        <v>34788000</v>
      </c>
      <c r="I187" s="4">
        <v>16097000</v>
      </c>
      <c r="J187" s="4">
        <v>59478000</v>
      </c>
      <c r="K187" s="4">
        <v>20857000</v>
      </c>
      <c r="L187" s="4">
        <v>52298000</v>
      </c>
      <c r="M187" s="5">
        <v>66494000</v>
      </c>
      <c r="N187" s="4">
        <v>17428000</v>
      </c>
      <c r="O187" s="4">
        <v>18101000</v>
      </c>
      <c r="P187" s="4">
        <v>31379000</v>
      </c>
      <c r="Q187" s="4">
        <v>-414000</v>
      </c>
    </row>
    <row r="188" spans="1:17" ht="16" x14ac:dyDescent="0.2">
      <c r="A188" s="100" t="s">
        <v>184</v>
      </c>
      <c r="B188" s="98">
        <v>10126641</v>
      </c>
      <c r="C188" s="98">
        <v>10553096</v>
      </c>
      <c r="D188" s="98">
        <v>15175319</v>
      </c>
      <c r="E188" s="98">
        <v>13349644</v>
      </c>
      <c r="F188" s="98">
        <v>22873323</v>
      </c>
      <c r="G188" s="98">
        <v>29011635</v>
      </c>
      <c r="H188" s="98">
        <v>42953092</v>
      </c>
      <c r="I188" s="98">
        <v>29715348</v>
      </c>
      <c r="J188" s="98">
        <v>73994620</v>
      </c>
      <c r="K188" s="98">
        <v>31707790</v>
      </c>
      <c r="L188" s="98">
        <v>68514527</v>
      </c>
      <c r="M188" s="99">
        <v>81248647</v>
      </c>
      <c r="N188" s="98">
        <v>21680815</v>
      </c>
      <c r="O188" s="98">
        <v>22099235</v>
      </c>
      <c r="P188" s="98">
        <v>34805634</v>
      </c>
      <c r="Q188" s="98">
        <v>2671280</v>
      </c>
    </row>
    <row r="189" spans="1:17" ht="16" x14ac:dyDescent="0.2">
      <c r="A189" s="20" t="s">
        <v>197</v>
      </c>
      <c r="B189" s="21"/>
      <c r="C189" s="22">
        <f>(C188/B188)-1</f>
        <v>4.2112187051955408E-2</v>
      </c>
      <c r="D189" s="22">
        <f>(D188/C188)-1</f>
        <v>0.43799686840714802</v>
      </c>
      <c r="E189" s="22">
        <f>(E188/D188)-1</f>
        <v>-0.12030554349467049</v>
      </c>
      <c r="F189" s="22">
        <f t="shared" ref="F189:M189" si="8">(F188/E188)-1</f>
        <v>0.71340321884239</v>
      </c>
      <c r="G189" s="22">
        <f t="shared" si="8"/>
        <v>0.26836118215092752</v>
      </c>
      <c r="H189" s="22">
        <f t="shared" si="8"/>
        <v>0.48054709774199211</v>
      </c>
      <c r="I189" s="22">
        <f t="shared" si="8"/>
        <v>-0.30819071185841518</v>
      </c>
      <c r="J189" s="22">
        <f t="shared" si="8"/>
        <v>1.490114536097642</v>
      </c>
      <c r="K189" s="22">
        <f t="shared" si="8"/>
        <v>-0.57148519716703727</v>
      </c>
      <c r="L189" s="22">
        <f t="shared" si="8"/>
        <v>1.1608105452950204</v>
      </c>
      <c r="M189" s="22">
        <f t="shared" si="8"/>
        <v>0.18586014612638291</v>
      </c>
      <c r="N189" s="22"/>
      <c r="O189" s="22">
        <f>(O188/N188)-1</f>
        <v>1.9299090001920982E-2</v>
      </c>
      <c r="P189" s="22">
        <f>(P188/O188)-1</f>
        <v>0.57497008380606851</v>
      </c>
      <c r="Q189" s="22">
        <f>(Q188/P188)-1</f>
        <v>-0.92325150577633497</v>
      </c>
    </row>
    <row r="190" spans="1:17" ht="16" x14ac:dyDescent="0.2">
      <c r="A190" s="23" t="s">
        <v>198</v>
      </c>
      <c r="B190" s="24">
        <f t="shared" ref="B190:Q190" si="9">B188/B2</f>
        <v>0.19628696865732395</v>
      </c>
      <c r="C190" s="24">
        <f t="shared" si="9"/>
        <v>0.17886906557738266</v>
      </c>
      <c r="D190" s="24">
        <f t="shared" si="9"/>
        <v>0.22498953283221396</v>
      </c>
      <c r="E190" s="24">
        <f t="shared" si="9"/>
        <v>0.17121732996447306</v>
      </c>
      <c r="F190" s="24">
        <f t="shared" si="9"/>
        <v>0.25036748432009981</v>
      </c>
      <c r="G190" s="24">
        <f t="shared" si="9"/>
        <v>0.274856326739427</v>
      </c>
      <c r="H190" s="24">
        <f t="shared" si="9"/>
        <v>0.28040743956495912</v>
      </c>
      <c r="I190" s="24">
        <f t="shared" si="9"/>
        <v>0.1488178248762996</v>
      </c>
      <c r="J190" s="24">
        <f t="shared" si="9"/>
        <v>0.29739288053984753</v>
      </c>
      <c r="K190" s="24">
        <f t="shared" si="9"/>
        <v>0.11223916998817708</v>
      </c>
      <c r="L190" s="24">
        <f t="shared" si="9"/>
        <v>0.19163776952962203</v>
      </c>
      <c r="M190" s="24">
        <f t="shared" si="9"/>
        <v>0.19652192011764905</v>
      </c>
      <c r="N190" s="24">
        <f t="shared" si="9"/>
        <v>0.23395216462361879</v>
      </c>
      <c r="O190" s="25">
        <f t="shared" si="9"/>
        <v>0.21073583682187913</v>
      </c>
      <c r="P190" s="24">
        <f t="shared" si="9"/>
        <v>0.3201371768103678</v>
      </c>
      <c r="Q190" s="24">
        <f t="shared" si="9"/>
        <v>2.4924934451774235E-2</v>
      </c>
    </row>
    <row r="191" spans="1:17" ht="16" x14ac:dyDescent="0.2">
      <c r="A191" s="3" t="s">
        <v>185</v>
      </c>
      <c r="B191" s="4" t="s">
        <v>22</v>
      </c>
      <c r="C191" s="4">
        <v>39260000</v>
      </c>
      <c r="D191" s="4">
        <v>4081000</v>
      </c>
      <c r="E191" s="4">
        <v>12914000</v>
      </c>
      <c r="F191" s="4">
        <v>75860000</v>
      </c>
      <c r="G191" s="4">
        <v>7014000</v>
      </c>
      <c r="H191" s="4">
        <v>221038000</v>
      </c>
      <c r="I191" s="4">
        <v>13697000</v>
      </c>
      <c r="J191" s="4">
        <v>221878000</v>
      </c>
      <c r="K191" s="4">
        <v>18457000</v>
      </c>
      <c r="L191" s="4">
        <v>299273000</v>
      </c>
      <c r="M191" s="5">
        <v>61644000</v>
      </c>
      <c r="N191" s="4">
        <v>16228000</v>
      </c>
      <c r="O191" s="4">
        <v>16276000</v>
      </c>
      <c r="P191" s="4">
        <v>29554000</v>
      </c>
      <c r="Q191" s="4">
        <v>-414000</v>
      </c>
    </row>
    <row r="192" spans="1:17" ht="16" x14ac:dyDescent="0.2">
      <c r="A192" s="3" t="s">
        <v>186</v>
      </c>
      <c r="B192" s="6">
        <v>0.31</v>
      </c>
      <c r="C192" s="6">
        <v>0.31</v>
      </c>
      <c r="D192" s="6">
        <v>0.45</v>
      </c>
      <c r="E192" s="6">
        <v>0.4</v>
      </c>
      <c r="F192" s="6">
        <v>0.7</v>
      </c>
      <c r="G192" s="6">
        <v>0.84</v>
      </c>
      <c r="H192" s="6">
        <v>1.19</v>
      </c>
      <c r="I192" s="6">
        <v>0.55000000000000004</v>
      </c>
      <c r="J192" s="6">
        <v>2.0099999999999998</v>
      </c>
      <c r="K192" s="6">
        <v>0.7</v>
      </c>
      <c r="L192" s="6">
        <v>1.75</v>
      </c>
      <c r="M192" s="7">
        <v>2.2200000000000002</v>
      </c>
      <c r="N192" s="6">
        <v>0.57999999999999996</v>
      </c>
      <c r="O192" s="6">
        <v>0.6</v>
      </c>
      <c r="P192" s="6">
        <v>1.05</v>
      </c>
      <c r="Q192" s="6">
        <v>-0.01</v>
      </c>
    </row>
    <row r="193" spans="1:17" ht="16" x14ac:dyDescent="0.2">
      <c r="A193" s="3" t="s">
        <v>187</v>
      </c>
      <c r="B193" s="4" t="s">
        <v>22</v>
      </c>
      <c r="C193" s="4" t="s">
        <v>22</v>
      </c>
      <c r="D193" s="4" t="s">
        <v>22</v>
      </c>
      <c r="E193" s="6">
        <v>42.41</v>
      </c>
      <c r="F193" s="6">
        <v>35.409999999999997</v>
      </c>
      <c r="G193" s="6">
        <v>38.770000000000003</v>
      </c>
      <c r="H193" s="6">
        <v>44.42</v>
      </c>
      <c r="I193" s="6">
        <v>41.89</v>
      </c>
      <c r="J193" s="6">
        <v>55.19</v>
      </c>
      <c r="K193" s="6">
        <v>67.290000000000006</v>
      </c>
      <c r="L193" s="6">
        <v>41.16</v>
      </c>
      <c r="M193" s="7">
        <v>48.84</v>
      </c>
      <c r="N193" s="6">
        <v>56.12</v>
      </c>
      <c r="O193" s="6">
        <v>43.92</v>
      </c>
      <c r="P193" s="6">
        <v>51.37</v>
      </c>
      <c r="Q193" s="6">
        <v>51.47</v>
      </c>
    </row>
    <row r="194" spans="1:17" ht="16" x14ac:dyDescent="0.2">
      <c r="A194" s="3" t="s">
        <v>188</v>
      </c>
      <c r="B194" s="6">
        <v>2.91</v>
      </c>
      <c r="C194" s="6">
        <v>1.45</v>
      </c>
      <c r="D194" s="6">
        <v>1.6</v>
      </c>
      <c r="E194" s="6">
        <v>1.29</v>
      </c>
      <c r="F194" s="6">
        <v>1.44</v>
      </c>
      <c r="G194" s="6">
        <v>0.99</v>
      </c>
      <c r="H194" s="6">
        <v>1.79</v>
      </c>
      <c r="I194" s="6">
        <v>1.88</v>
      </c>
      <c r="J194" s="6">
        <v>2.81</v>
      </c>
      <c r="K194" s="6">
        <v>1.1499999999999999</v>
      </c>
      <c r="L194" s="6">
        <v>1.44</v>
      </c>
      <c r="M194" s="7">
        <v>1.51</v>
      </c>
      <c r="N194" s="6">
        <v>1.77</v>
      </c>
      <c r="O194" s="6">
        <v>1.31</v>
      </c>
      <c r="P194" s="6">
        <v>2.2799999999999998</v>
      </c>
      <c r="Q194" s="6">
        <v>0.76</v>
      </c>
    </row>
    <row r="196" spans="1:17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Q1 A4:Q7 A15:Q16 A19:Q33 A191:Q195 A2:Q2 A9:Q11 A13 A37:Q95 A130:Q142 A144:Q188 A97:Q128 A96:L96 N96:P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C98C-2177-6D4A-9D0A-D6C6D71F0177}">
  <dimension ref="A1:P110"/>
  <sheetViews>
    <sheetView tabSelected="1" workbookViewId="0">
      <selection activeCell="H20" sqref="H20"/>
    </sheetView>
  </sheetViews>
  <sheetFormatPr baseColWidth="10" defaultRowHeight="15" x14ac:dyDescent="0.2"/>
  <cols>
    <col min="1" max="16" width="18.83203125" customWidth="1"/>
  </cols>
  <sheetData>
    <row r="1" spans="1:16" s="115" customFormat="1" ht="22" customHeight="1" x14ac:dyDescent="0.2">
      <c r="A1" s="114" t="e" vm="1">
        <v>#VALUE!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</row>
    <row r="2" spans="1:16" s="115" customFormat="1" ht="22" customHeight="1" x14ac:dyDescent="0.2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</row>
    <row r="3" spans="1:16" ht="22" customHeight="1" x14ac:dyDescent="0.2">
      <c r="A3" s="26" cm="1">
        <f t="array" ref="A3">_FV(A1,"Market cap",TRUE)</f>
        <v>5353101817</v>
      </c>
      <c r="B3" s="27" t="s">
        <v>199</v>
      </c>
      <c r="C3" s="28">
        <f>Financials!M8*0.01</f>
        <v>0.48020000000000002</v>
      </c>
      <c r="D3" s="27" t="s">
        <v>200</v>
      </c>
      <c r="E3" s="28">
        <f>SUM(C11:E11)/3</f>
        <v>0.21567791401060044</v>
      </c>
      <c r="F3" s="29" t="s">
        <v>201</v>
      </c>
      <c r="G3" s="30">
        <f>AVERAGE(Financials!H129:L129)</f>
        <v>5.7103688202766456E-3</v>
      </c>
      <c r="H3" s="29" t="s">
        <v>202</v>
      </c>
      <c r="I3" s="31">
        <f>J14*(1+I7)/(I6-I7)</f>
        <v>2803200873.1036673</v>
      </c>
      <c r="J3" s="27" t="s">
        <v>203</v>
      </c>
      <c r="K3" s="32"/>
      <c r="L3" s="33"/>
      <c r="M3" s="34"/>
      <c r="N3" s="116" t="s">
        <v>204</v>
      </c>
      <c r="O3" s="117"/>
      <c r="P3" s="34"/>
    </row>
    <row r="4" spans="1:16" ht="22" customHeight="1" x14ac:dyDescent="0.2">
      <c r="A4" s="35">
        <f>Financials!M56-Financials!M96-Financials!M105</f>
        <v>-522911000</v>
      </c>
      <c r="B4" s="36" t="s">
        <v>205</v>
      </c>
      <c r="C4" s="37">
        <f>Financials!M17*0.01</f>
        <v>0.255</v>
      </c>
      <c r="D4" s="36" t="s">
        <v>206</v>
      </c>
      <c r="E4" s="37">
        <f>SUM(C13:E13)/3</f>
        <v>0.40325071204274959</v>
      </c>
      <c r="F4" s="38" t="s">
        <v>207</v>
      </c>
      <c r="G4" s="39">
        <f>A5*(1+(5*G3))</f>
        <v>30833526.047252066</v>
      </c>
      <c r="H4" s="40" t="s">
        <v>247</v>
      </c>
      <c r="I4" s="41">
        <f>NPV(I6,F14,G14,H14,I14,(J14+I3))</f>
        <v>2294137510.711266</v>
      </c>
      <c r="J4" s="38" t="s">
        <v>208</v>
      </c>
      <c r="K4" s="42">
        <f>(Financials!M172*-1)/Model!A3</f>
        <v>4.3356171418773518E-3</v>
      </c>
      <c r="L4" s="29" t="s">
        <v>209</v>
      </c>
      <c r="M4" s="34"/>
      <c r="N4" s="118" t="s">
        <v>210</v>
      </c>
      <c r="O4" s="119"/>
      <c r="P4" s="34"/>
    </row>
    <row r="5" spans="1:16" ht="22" customHeight="1" x14ac:dyDescent="0.2">
      <c r="A5" s="39" cm="1">
        <f t="array" ref="A5">_FV(A1,"Shares outstanding",TRUE)</f>
        <v>29977610</v>
      </c>
      <c r="B5" s="36" t="s">
        <v>211</v>
      </c>
      <c r="C5" s="43">
        <f>Financials!M34*0.01</f>
        <v>0.15190000000000001</v>
      </c>
      <c r="D5" s="36" t="s">
        <v>212</v>
      </c>
      <c r="E5" s="37">
        <f>SUM(C15:E15)/3</f>
        <v>0.69314662807520833</v>
      </c>
      <c r="F5" s="38" t="s">
        <v>213</v>
      </c>
      <c r="G5" s="39">
        <f>Financials!M56</f>
        <v>188500000</v>
      </c>
      <c r="H5" s="40" t="s">
        <v>214</v>
      </c>
      <c r="I5" s="41">
        <f>I4+G5-G6</f>
        <v>1771226510.711266</v>
      </c>
      <c r="J5" s="38" t="s">
        <v>215</v>
      </c>
      <c r="K5" s="44" cm="1">
        <f t="array" ref="K5">_FV(A1,"Price")</f>
        <v>178.57</v>
      </c>
      <c r="L5" s="27" t="s">
        <v>216</v>
      </c>
      <c r="M5" s="34"/>
      <c r="N5" s="45" t="s">
        <v>217</v>
      </c>
      <c r="O5" s="46">
        <f>Financials!M20</f>
        <v>19869000</v>
      </c>
      <c r="P5" s="34"/>
    </row>
    <row r="6" spans="1:16" ht="22" customHeight="1" x14ac:dyDescent="0.2">
      <c r="A6" s="47">
        <f>O20/F10</f>
        <v>12.277756461009174</v>
      </c>
      <c r="B6" s="36" t="s">
        <v>218</v>
      </c>
      <c r="C6" s="37">
        <f>Financials!M190</f>
        <v>0.19652192011764905</v>
      </c>
      <c r="D6" s="48" t="s">
        <v>198</v>
      </c>
      <c r="E6" s="37">
        <f>Financials!M33/Financials!M126</f>
        <v>-0.17192781735919704</v>
      </c>
      <c r="F6" s="36" t="s">
        <v>219</v>
      </c>
      <c r="G6" s="41">
        <f>Financials!M96+Financials!M105</f>
        <v>711411000</v>
      </c>
      <c r="H6" s="40" t="s">
        <v>220</v>
      </c>
      <c r="I6" s="49">
        <f>N25</f>
        <v>9.1183269911224413E-2</v>
      </c>
      <c r="J6" s="40" t="s">
        <v>221</v>
      </c>
      <c r="K6" s="50">
        <f>I5/G4</f>
        <v>57.444825090613357</v>
      </c>
      <c r="L6" s="51" t="s">
        <v>222</v>
      </c>
      <c r="M6" s="34"/>
      <c r="N6" s="52" t="s">
        <v>223</v>
      </c>
      <c r="O6" s="53">
        <f>Financials!M96</f>
        <v>0</v>
      </c>
      <c r="P6" s="34"/>
    </row>
    <row r="7" spans="1:16" ht="22" customHeight="1" x14ac:dyDescent="0.2">
      <c r="A7" s="54">
        <f>O20/F12</f>
        <v>81.107603287878788</v>
      </c>
      <c r="B7" s="55" t="s">
        <v>224</v>
      </c>
      <c r="C7" s="56">
        <f>F14/A3</f>
        <v>1.6252259526189392E-2</v>
      </c>
      <c r="D7" s="57" t="s">
        <v>225</v>
      </c>
      <c r="E7" s="58">
        <f>(Financials!M16*(1-0.25))/(Financials!M126+Financials!M105+Financials!M96)</f>
        <v>0.22847410853609201</v>
      </c>
      <c r="F7" s="55" t="s">
        <v>194</v>
      </c>
      <c r="G7" s="59">
        <f>(Financials!M96+Financials!M105)/Financials!M126</f>
        <v>-1.9471987212297215</v>
      </c>
      <c r="H7" s="60" t="s">
        <v>226</v>
      </c>
      <c r="I7" s="61">
        <v>2.5000000000000001E-2</v>
      </c>
      <c r="J7" s="62" t="s">
        <v>227</v>
      </c>
      <c r="K7" s="63">
        <f>K6/K5-1</f>
        <v>-0.67830640594381275</v>
      </c>
      <c r="L7" s="64" t="s">
        <v>228</v>
      </c>
      <c r="M7" s="34"/>
      <c r="N7" s="52" t="s">
        <v>229</v>
      </c>
      <c r="O7" s="53">
        <f>Financials!M105</f>
        <v>711411000</v>
      </c>
      <c r="P7" s="34"/>
    </row>
    <row r="8" spans="1:16" ht="22" customHeight="1" x14ac:dyDescent="0.2">
      <c r="A8" s="65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66" t="s">
        <v>210</v>
      </c>
      <c r="O8" s="67">
        <f>O5/(O6+O7)</f>
        <v>2.792900306573837E-2</v>
      </c>
      <c r="P8" s="34"/>
    </row>
    <row r="9" spans="1:16" ht="22" customHeight="1" x14ac:dyDescent="0.2">
      <c r="A9" s="68"/>
      <c r="B9" s="69">
        <v>2019</v>
      </c>
      <c r="C9" s="69">
        <v>2020</v>
      </c>
      <c r="D9" s="69">
        <v>2021</v>
      </c>
      <c r="E9" s="69">
        <v>2022</v>
      </c>
      <c r="F9" s="70">
        <v>2023</v>
      </c>
      <c r="G9" s="71">
        <v>2024</v>
      </c>
      <c r="H9" s="71">
        <v>2025</v>
      </c>
      <c r="I9" s="71">
        <v>2026</v>
      </c>
      <c r="J9" s="71">
        <v>2027</v>
      </c>
      <c r="K9" s="72"/>
      <c r="L9" s="73"/>
      <c r="M9" s="73"/>
      <c r="N9" s="52" t="s">
        <v>230</v>
      </c>
      <c r="O9" s="53">
        <f>Financials!M25</f>
        <v>21773000</v>
      </c>
      <c r="P9" s="34"/>
    </row>
    <row r="10" spans="1:16" ht="22" customHeight="1" x14ac:dyDescent="0.2">
      <c r="A10" s="74" t="s">
        <v>231</v>
      </c>
      <c r="B10" s="75">
        <v>199676000</v>
      </c>
      <c r="C10" s="75">
        <v>248811000</v>
      </c>
      <c r="D10" s="75">
        <v>282502000</v>
      </c>
      <c r="E10" s="75">
        <v>357521000</v>
      </c>
      <c r="F10" s="76">
        <v>436000000</v>
      </c>
      <c r="G10" s="75">
        <v>500000000</v>
      </c>
      <c r="H10" s="75">
        <v>570000000</v>
      </c>
      <c r="I10" s="75">
        <v>655000000</v>
      </c>
      <c r="J10" s="75">
        <v>742000000</v>
      </c>
      <c r="K10" s="77" t="s">
        <v>232</v>
      </c>
      <c r="N10" s="52" t="s">
        <v>233</v>
      </c>
      <c r="O10" s="53">
        <f>Financials!M24</f>
        <v>84587000</v>
      </c>
      <c r="P10" s="34"/>
    </row>
    <row r="11" spans="1:16" ht="22" customHeight="1" x14ac:dyDescent="0.2">
      <c r="A11" s="78"/>
      <c r="B11" s="79"/>
      <c r="C11" s="79">
        <f t="shared" ref="C11:J11" si="0">(C10/B10)-1</f>
        <v>0.24607363929565906</v>
      </c>
      <c r="D11" s="79">
        <f t="shared" si="0"/>
        <v>0.13540800045014079</v>
      </c>
      <c r="E11" s="79">
        <f t="shared" si="0"/>
        <v>0.26555210228600146</v>
      </c>
      <c r="F11" s="80">
        <f t="shared" si="0"/>
        <v>0.21950878409939567</v>
      </c>
      <c r="G11" s="79">
        <f t="shared" si="0"/>
        <v>0.14678899082568808</v>
      </c>
      <c r="H11" s="79">
        <f t="shared" si="0"/>
        <v>0.1399999999999999</v>
      </c>
      <c r="I11" s="79">
        <f t="shared" si="0"/>
        <v>0.14912280701754388</v>
      </c>
      <c r="J11" s="79">
        <f t="shared" si="0"/>
        <v>0.13282442748091605</v>
      </c>
      <c r="K11" s="81">
        <f>SUM(F11:J11)/5</f>
        <v>0.15764900188470871</v>
      </c>
      <c r="L11" s="73"/>
      <c r="M11" s="73"/>
      <c r="N11" s="52" t="s">
        <v>234</v>
      </c>
      <c r="O11" s="82">
        <f>O9/O10</f>
        <v>0.2574036199415986</v>
      </c>
      <c r="P11" s="34"/>
    </row>
    <row r="12" spans="1:16" ht="22" customHeight="1" x14ac:dyDescent="0.2">
      <c r="A12" s="74" t="s">
        <v>140</v>
      </c>
      <c r="B12" s="75">
        <v>20476000</v>
      </c>
      <c r="C12" s="75">
        <v>23306000</v>
      </c>
      <c r="D12" s="75">
        <v>42658000</v>
      </c>
      <c r="E12" s="75">
        <v>52947000</v>
      </c>
      <c r="F12" s="76">
        <v>66000000</v>
      </c>
      <c r="G12" s="75">
        <v>77000000</v>
      </c>
      <c r="H12" s="75">
        <v>92000000</v>
      </c>
      <c r="I12" s="75">
        <v>113000000</v>
      </c>
      <c r="J12" s="75">
        <v>127000000</v>
      </c>
      <c r="K12" s="77" t="s">
        <v>235</v>
      </c>
      <c r="L12" s="73"/>
      <c r="M12" s="73"/>
      <c r="N12" s="83" t="s">
        <v>236</v>
      </c>
      <c r="O12" s="84">
        <f>O8*(1-O11)</f>
        <v>2.0739976575257311E-2</v>
      </c>
      <c r="P12" s="34"/>
    </row>
    <row r="13" spans="1:16" ht="22" customHeight="1" x14ac:dyDescent="0.2">
      <c r="A13" s="78"/>
      <c r="B13" s="79"/>
      <c r="C13" s="79">
        <f t="shared" ref="C13:J13" si="1">(C12/B12)-1</f>
        <v>0.13821058800546981</v>
      </c>
      <c r="D13" s="79">
        <f t="shared" si="1"/>
        <v>0.83034411739466241</v>
      </c>
      <c r="E13" s="79">
        <f t="shared" si="1"/>
        <v>0.24119743072811661</v>
      </c>
      <c r="F13" s="80">
        <f t="shared" si="1"/>
        <v>0.24652954841634078</v>
      </c>
      <c r="G13" s="79">
        <f t="shared" si="1"/>
        <v>0.16666666666666674</v>
      </c>
      <c r="H13" s="79">
        <f t="shared" si="1"/>
        <v>0.19480519480519476</v>
      </c>
      <c r="I13" s="79">
        <f t="shared" si="1"/>
        <v>0.22826086956521729</v>
      </c>
      <c r="J13" s="79">
        <f t="shared" si="1"/>
        <v>0.12389380530973448</v>
      </c>
      <c r="K13" s="81">
        <f>SUM(F13:J13)/5</f>
        <v>0.19203121695263081</v>
      </c>
      <c r="L13" s="73"/>
      <c r="M13" s="73"/>
      <c r="N13" s="118" t="s">
        <v>237</v>
      </c>
      <c r="O13" s="119"/>
      <c r="P13" s="34"/>
    </row>
    <row r="14" spans="1:16" ht="22" customHeight="1" x14ac:dyDescent="0.2">
      <c r="A14" s="74" t="s">
        <v>183</v>
      </c>
      <c r="B14" s="75">
        <v>29715348</v>
      </c>
      <c r="C14" s="75">
        <v>73994620</v>
      </c>
      <c r="D14" s="75">
        <v>31707790</v>
      </c>
      <c r="E14" s="75">
        <v>68514527</v>
      </c>
      <c r="F14" s="76">
        <v>87000000</v>
      </c>
      <c r="G14" s="75">
        <v>103000000</v>
      </c>
      <c r="H14" s="75">
        <v>120000000</v>
      </c>
      <c r="I14" s="75">
        <v>151000000</v>
      </c>
      <c r="J14" s="75">
        <v>181000000</v>
      </c>
      <c r="K14" s="77" t="s">
        <v>238</v>
      </c>
      <c r="L14" s="73"/>
      <c r="M14" s="73"/>
      <c r="N14" s="52" t="s">
        <v>239</v>
      </c>
      <c r="O14" s="82">
        <f>'[1]US Treasury Bonds'!$C$8</f>
        <v>4.845E-2</v>
      </c>
      <c r="P14" s="34"/>
    </row>
    <row r="15" spans="1:16" ht="22" customHeight="1" x14ac:dyDescent="0.2">
      <c r="A15" s="85"/>
      <c r="B15" s="79"/>
      <c r="C15" s="79">
        <f t="shared" ref="C15:J15" si="2">(C14/B14)-1</f>
        <v>1.490114536097642</v>
      </c>
      <c r="D15" s="79">
        <f t="shared" si="2"/>
        <v>-0.57148519716703727</v>
      </c>
      <c r="E15" s="79">
        <f t="shared" si="2"/>
        <v>1.1608105452950204</v>
      </c>
      <c r="F15" s="80">
        <f t="shared" si="2"/>
        <v>0.26980370162958289</v>
      </c>
      <c r="G15" s="79">
        <f t="shared" si="2"/>
        <v>0.18390804597701149</v>
      </c>
      <c r="H15" s="79">
        <f t="shared" si="2"/>
        <v>0.16504854368932032</v>
      </c>
      <c r="I15" s="79">
        <f t="shared" si="2"/>
        <v>0.2583333333333333</v>
      </c>
      <c r="J15" s="79">
        <f t="shared" si="2"/>
        <v>0.19867549668874163</v>
      </c>
      <c r="K15" s="81">
        <f>SUM(F15:J15)/5</f>
        <v>0.21515382426359791</v>
      </c>
      <c r="L15" s="73"/>
      <c r="M15" s="73"/>
      <c r="N15" s="52" t="s">
        <v>240</v>
      </c>
      <c r="O15" s="86" cm="1">
        <f t="array" ref="O15">_FV(A1,"Beta")</f>
        <v>1.4654</v>
      </c>
      <c r="P15" s="34"/>
    </row>
    <row r="16" spans="1:16" ht="22" customHeight="1" x14ac:dyDescent="0.2">
      <c r="A16" s="74" t="s">
        <v>194</v>
      </c>
      <c r="B16" s="87">
        <v>0.31163859482599976</v>
      </c>
      <c r="C16" s="87">
        <v>0.31513546350107952</v>
      </c>
      <c r="D16" s="87">
        <v>0.32464790034008578</v>
      </c>
      <c r="E16" s="87">
        <v>0.21380979630975763</v>
      </c>
      <c r="F16" s="88"/>
      <c r="G16" s="89"/>
      <c r="H16" s="89"/>
      <c r="I16" s="89"/>
      <c r="J16" s="89"/>
      <c r="K16" s="90"/>
      <c r="L16" s="73"/>
      <c r="M16" s="73"/>
      <c r="N16" s="52" t="s">
        <v>241</v>
      </c>
      <c r="O16" s="82">
        <v>8.4000000000000005E-2</v>
      </c>
      <c r="P16" s="34"/>
    </row>
    <row r="17" spans="1:16" ht="22" customHeight="1" x14ac:dyDescent="0.2">
      <c r="A17" s="73"/>
      <c r="B17" s="91"/>
      <c r="C17" s="91"/>
      <c r="D17" s="91"/>
      <c r="E17" s="91"/>
      <c r="F17" s="73"/>
      <c r="G17" s="73"/>
      <c r="H17" s="73"/>
      <c r="I17" s="73"/>
      <c r="J17" s="73"/>
      <c r="K17" s="73"/>
      <c r="L17" s="73"/>
      <c r="M17" s="73"/>
      <c r="N17" s="92" t="s">
        <v>237</v>
      </c>
      <c r="O17" s="93">
        <f>(O14)+((O15)*(O16-O14))</f>
        <v>0.10054497000000001</v>
      </c>
      <c r="P17" s="34"/>
    </row>
    <row r="18" spans="1:16" ht="22" customHeight="1" x14ac:dyDescent="0.2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118" t="s">
        <v>242</v>
      </c>
      <c r="O18" s="119"/>
      <c r="P18" s="34"/>
    </row>
    <row r="19" spans="1:16" ht="22" customHeight="1" x14ac:dyDescent="0.2">
      <c r="A19" s="109" t="str" cm="1">
        <f t="array" ref="A19">_FV(A1,"Industry")</f>
        <v>Hotels &amp; Entertainment Services</v>
      </c>
      <c r="B19" s="109"/>
      <c r="C19" s="120" cm="1">
        <f t="array" ref="C19">_FV(A1,"Year incorporated",TRUE)</f>
        <v>2015</v>
      </c>
      <c r="D19" s="120"/>
      <c r="E19" s="94"/>
      <c r="F19" s="73"/>
      <c r="G19" s="73"/>
      <c r="H19" s="73"/>
      <c r="I19" s="73"/>
      <c r="J19" s="73"/>
      <c r="K19" s="73"/>
      <c r="L19" s="73"/>
      <c r="M19" s="73"/>
      <c r="N19" s="52" t="s">
        <v>220</v>
      </c>
      <c r="O19" s="95">
        <f>O6+O7</f>
        <v>711411000</v>
      </c>
      <c r="P19" s="34"/>
    </row>
    <row r="20" spans="1:16" ht="22" customHeight="1" x14ac:dyDescent="0.2">
      <c r="A20" s="109" t="str" cm="1">
        <f t="array" ref="A20">_FV(A1,"Description")</f>
        <v>Wingstop Inc. is a fast casual chicken wings-focused restaurant chain, with over 1,950 locations worldwide. The Company is in the business of franchising and operating Wingstop restaurants. The Company is primarily a franchisor, with approximately 98% of its restaurants owned and operated by independent franchisees. It offers classic and boneless wings, tenders, and chicken sandwiches, always cooked to order and hand sauced-and-tossed in about 11 distinctive flavors. The Company also complements its wings, tenders, and chicken sandwiches with seasoned fries, ranch, bleu cheese dips, hand-cut carrots and celery. It offers various order options, including eat-in, to go, individual, combo meals and family packs. It also developed a custom Website and mobile ordering application. The Company operates approximately a total of 1,916 restaurants in 44 states and nine countries.</v>
      </c>
      <c r="B20" s="109"/>
      <c r="C20" s="109"/>
      <c r="D20" s="109"/>
      <c r="E20" s="109"/>
      <c r="F20" s="73"/>
      <c r="G20" s="73"/>
      <c r="H20" s="73"/>
      <c r="I20" s="73"/>
      <c r="J20" s="73"/>
      <c r="K20" s="73"/>
      <c r="L20" s="73"/>
      <c r="M20" s="73"/>
      <c r="N20" s="52" t="s">
        <v>199</v>
      </c>
      <c r="O20" s="95" cm="1">
        <f t="array" ref="O20">_FV(A1,"Market cap",TRUE)</f>
        <v>5353101817</v>
      </c>
      <c r="P20" s="34"/>
    </row>
    <row r="21" spans="1:16" ht="22" customHeight="1" x14ac:dyDescent="0.2">
      <c r="A21" s="109"/>
      <c r="B21" s="109"/>
      <c r="C21" s="109"/>
      <c r="D21" s="109"/>
      <c r="E21" s="109"/>
      <c r="F21" s="73"/>
      <c r="G21" s="73"/>
      <c r="H21" s="73"/>
      <c r="I21" s="73"/>
      <c r="J21" s="73"/>
      <c r="K21" s="73"/>
      <c r="M21" s="73"/>
      <c r="N21" s="52" t="s">
        <v>243</v>
      </c>
      <c r="O21" s="95">
        <f>O19+O20</f>
        <v>6064512817</v>
      </c>
      <c r="P21" s="34"/>
    </row>
    <row r="22" spans="1:16" ht="22" customHeight="1" x14ac:dyDescent="0.2">
      <c r="A22" s="109"/>
      <c r="B22" s="109"/>
      <c r="C22" s="109"/>
      <c r="D22" s="109"/>
      <c r="E22" s="109"/>
      <c r="F22" s="73"/>
      <c r="G22" s="73"/>
      <c r="H22" s="73"/>
      <c r="I22" s="73"/>
      <c r="J22" s="73"/>
      <c r="K22" s="73"/>
      <c r="L22" s="73"/>
      <c r="M22" s="73"/>
      <c r="N22" s="66" t="s">
        <v>244</v>
      </c>
      <c r="O22" s="96">
        <f>(O19/O21)</f>
        <v>0.11730719704405235</v>
      </c>
      <c r="P22" s="34"/>
    </row>
    <row r="23" spans="1:16" ht="22" customHeight="1" x14ac:dyDescent="0.2">
      <c r="A23" s="109"/>
      <c r="B23" s="109"/>
      <c r="C23" s="109"/>
      <c r="D23" s="109"/>
      <c r="E23" s="109"/>
      <c r="F23" s="73"/>
      <c r="G23" s="73"/>
      <c r="H23" s="73"/>
      <c r="I23" s="73"/>
      <c r="J23" s="73"/>
      <c r="K23" s="73"/>
      <c r="L23" s="73"/>
      <c r="M23" s="73"/>
      <c r="N23" s="92" t="s">
        <v>245</v>
      </c>
      <c r="O23" s="97">
        <f>O20/O21</f>
        <v>0.88269280295594765</v>
      </c>
      <c r="P23" s="34"/>
    </row>
    <row r="24" spans="1:16" ht="22" customHeight="1" x14ac:dyDescent="0.2">
      <c r="A24" s="109"/>
      <c r="B24" s="109"/>
      <c r="C24" s="109"/>
      <c r="D24" s="109"/>
      <c r="E24" s="109"/>
      <c r="F24" s="73"/>
      <c r="G24" s="73"/>
      <c r="H24" s="73"/>
      <c r="I24" s="73"/>
      <c r="J24" s="73"/>
      <c r="K24" s="73"/>
      <c r="L24" s="73"/>
      <c r="M24" s="73"/>
      <c r="N24" s="110" t="s">
        <v>246</v>
      </c>
      <c r="O24" s="111"/>
      <c r="P24" s="34"/>
    </row>
    <row r="25" spans="1:16" ht="22" customHeight="1" x14ac:dyDescent="0.2">
      <c r="A25" s="109"/>
      <c r="B25" s="109"/>
      <c r="C25" s="109"/>
      <c r="D25" s="109"/>
      <c r="E25" s="109"/>
      <c r="F25" s="73"/>
      <c r="G25" s="73"/>
      <c r="H25" s="73"/>
      <c r="I25" s="73"/>
      <c r="J25" s="73"/>
      <c r="K25" s="73"/>
      <c r="L25" s="73"/>
      <c r="M25" s="73"/>
      <c r="N25" s="112">
        <f>(O22*O12)+(O23*O17)</f>
        <v>9.1183269911224413E-2</v>
      </c>
      <c r="O25" s="113"/>
      <c r="P25" s="34"/>
    </row>
    <row r="26" spans="1:16" ht="22" customHeight="1" x14ac:dyDescent="0.2">
      <c r="A26" s="109"/>
      <c r="B26" s="109"/>
      <c r="C26" s="109"/>
      <c r="D26" s="109"/>
      <c r="E26" s="109"/>
      <c r="F26" s="73"/>
      <c r="G26" s="73"/>
      <c r="H26" s="73"/>
      <c r="I26" s="73"/>
      <c r="J26" s="73"/>
      <c r="K26" s="73"/>
      <c r="L26" s="73"/>
      <c r="M26" s="73"/>
      <c r="N26" s="73"/>
      <c r="O26" s="34"/>
      <c r="P26" s="34"/>
    </row>
    <row r="27" spans="1:16" ht="22" customHeight="1" x14ac:dyDescent="0.2">
      <c r="A27" s="109"/>
      <c r="B27" s="109"/>
      <c r="C27" s="109"/>
      <c r="D27" s="109"/>
      <c r="E27" s="109"/>
      <c r="F27" s="73"/>
      <c r="G27" s="73"/>
      <c r="H27" s="73"/>
      <c r="I27" s="73"/>
      <c r="J27" s="73"/>
      <c r="K27" s="73"/>
      <c r="L27" s="73"/>
      <c r="M27" s="73"/>
      <c r="N27" s="73"/>
      <c r="O27" s="34"/>
      <c r="P27" s="34"/>
    </row>
    <row r="28" spans="1:16" ht="22" customHeight="1" x14ac:dyDescent="0.2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34"/>
      <c r="P28" s="34"/>
    </row>
    <row r="29" spans="1:16" ht="22" customHeight="1" x14ac:dyDescent="0.2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34"/>
      <c r="P29" s="34"/>
    </row>
    <row r="30" spans="1:16" ht="22" customHeight="1" x14ac:dyDescent="0.2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34"/>
      <c r="P30" s="34"/>
    </row>
    <row r="31" spans="1:16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1:16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1:16" x14ac:dyDescent="0.2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</row>
    <row r="34" spans="1:16" x14ac:dyDescent="0.2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</row>
    <row r="35" spans="1:16" x14ac:dyDescent="0.2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</row>
    <row r="36" spans="1:16" x14ac:dyDescent="0.2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 x14ac:dyDescent="0.2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</row>
    <row r="38" spans="1:16" x14ac:dyDescent="0.2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</row>
    <row r="39" spans="1:16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</row>
    <row r="40" spans="1:16" x14ac:dyDescent="0.2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</row>
    <row r="41" spans="1:16" x14ac:dyDescent="0.2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</row>
    <row r="42" spans="1:16" x14ac:dyDescent="0.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</row>
    <row r="43" spans="1:16" x14ac:dyDescent="0.2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</row>
    <row r="44" spans="1:16" x14ac:dyDescent="0.2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</row>
    <row r="45" spans="1:16" x14ac:dyDescent="0.2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</row>
    <row r="46" spans="1:16" x14ac:dyDescent="0.2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</row>
    <row r="47" spans="1:16" x14ac:dyDescent="0.2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</row>
    <row r="48" spans="1:16" x14ac:dyDescent="0.2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</row>
    <row r="49" spans="1:16" x14ac:dyDescent="0.2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</row>
    <row r="50" spans="1:16" x14ac:dyDescent="0.2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</row>
    <row r="51" spans="1:16" x14ac:dyDescent="0.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</row>
    <row r="52" spans="1:16" x14ac:dyDescent="0.2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</row>
    <row r="53" spans="1:16" x14ac:dyDescent="0.2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</row>
    <row r="54" spans="1:16" x14ac:dyDescent="0.2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</row>
    <row r="55" spans="1:16" x14ac:dyDescent="0.2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</row>
    <row r="56" spans="1:16" x14ac:dyDescent="0.2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</row>
    <row r="57" spans="1:16" x14ac:dyDescent="0.2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</row>
    <row r="58" spans="1:16" x14ac:dyDescent="0.2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</row>
    <row r="59" spans="1:16" x14ac:dyDescent="0.2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</row>
    <row r="60" spans="1:16" x14ac:dyDescent="0.2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</row>
    <row r="61" spans="1:16" x14ac:dyDescent="0.2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</row>
    <row r="62" spans="1:16" x14ac:dyDescent="0.2">
      <c r="O62" s="34"/>
      <c r="P62" s="34"/>
    </row>
    <row r="63" spans="1:16" x14ac:dyDescent="0.2">
      <c r="O63" s="34"/>
      <c r="P63" s="34"/>
    </row>
    <row r="64" spans="1:16" x14ac:dyDescent="0.2">
      <c r="O64" s="34"/>
      <c r="P64" s="34"/>
    </row>
    <row r="65" spans="15:16" x14ac:dyDescent="0.2">
      <c r="O65" s="34"/>
      <c r="P65" s="34"/>
    </row>
    <row r="66" spans="15:16" x14ac:dyDescent="0.2">
      <c r="O66" s="34"/>
      <c r="P66" s="34"/>
    </row>
    <row r="67" spans="15:16" x14ac:dyDescent="0.2">
      <c r="O67" s="34"/>
      <c r="P67" s="34"/>
    </row>
    <row r="68" spans="15:16" x14ac:dyDescent="0.2">
      <c r="O68" s="34"/>
      <c r="P68" s="34"/>
    </row>
    <row r="69" spans="15:16" x14ac:dyDescent="0.2">
      <c r="O69" s="34"/>
      <c r="P69" s="34"/>
    </row>
    <row r="70" spans="15:16" x14ac:dyDescent="0.2">
      <c r="O70" s="34"/>
      <c r="P70" s="34"/>
    </row>
    <row r="71" spans="15:16" x14ac:dyDescent="0.2">
      <c r="O71" s="34"/>
      <c r="P71" s="34"/>
    </row>
    <row r="72" spans="15:16" x14ac:dyDescent="0.2">
      <c r="O72" s="34"/>
      <c r="P72" s="34"/>
    </row>
    <row r="73" spans="15:16" x14ac:dyDescent="0.2">
      <c r="O73" s="34"/>
      <c r="P73" s="34"/>
    </row>
    <row r="74" spans="15:16" x14ac:dyDescent="0.2">
      <c r="O74" s="34"/>
      <c r="P74" s="34"/>
    </row>
    <row r="75" spans="15:16" x14ac:dyDescent="0.2">
      <c r="O75" s="34"/>
      <c r="P75" s="34"/>
    </row>
    <row r="76" spans="15:16" x14ac:dyDescent="0.2">
      <c r="O76" s="34"/>
      <c r="P76" s="34"/>
    </row>
    <row r="77" spans="15:16" x14ac:dyDescent="0.2">
      <c r="O77" s="34"/>
      <c r="P77" s="34"/>
    </row>
    <row r="78" spans="15:16" x14ac:dyDescent="0.2">
      <c r="O78" s="34"/>
      <c r="P78" s="34"/>
    </row>
    <row r="79" spans="15:16" x14ac:dyDescent="0.2">
      <c r="O79" s="34"/>
      <c r="P79" s="34"/>
    </row>
    <row r="80" spans="15:16" x14ac:dyDescent="0.2">
      <c r="O80" s="34"/>
      <c r="P80" s="34"/>
    </row>
    <row r="81" spans="15:16" x14ac:dyDescent="0.2">
      <c r="O81" s="34"/>
      <c r="P81" s="34"/>
    </row>
    <row r="82" spans="15:16" x14ac:dyDescent="0.2">
      <c r="O82" s="34"/>
      <c r="P82" s="34"/>
    </row>
    <row r="83" spans="15:16" x14ac:dyDescent="0.2">
      <c r="O83" s="34"/>
      <c r="P83" s="34"/>
    </row>
    <row r="84" spans="15:16" x14ac:dyDescent="0.2">
      <c r="O84" s="34"/>
      <c r="P84" s="34"/>
    </row>
    <row r="85" spans="15:16" x14ac:dyDescent="0.2">
      <c r="O85" s="34"/>
      <c r="P85" s="34"/>
    </row>
    <row r="86" spans="15:16" x14ac:dyDescent="0.2">
      <c r="O86" s="34"/>
      <c r="P86" s="34"/>
    </row>
    <row r="87" spans="15:16" x14ac:dyDescent="0.2">
      <c r="O87" s="34"/>
      <c r="P87" s="34"/>
    </row>
    <row r="88" spans="15:16" x14ac:dyDescent="0.2">
      <c r="O88" s="34"/>
      <c r="P88" s="34"/>
    </row>
    <row r="89" spans="15:16" x14ac:dyDescent="0.2">
      <c r="O89" s="34"/>
      <c r="P89" s="34"/>
    </row>
    <row r="90" spans="15:16" x14ac:dyDescent="0.2">
      <c r="O90" s="34"/>
      <c r="P90" s="34"/>
    </row>
    <row r="91" spans="15:16" x14ac:dyDescent="0.2">
      <c r="O91" s="34"/>
      <c r="P91" s="34"/>
    </row>
    <row r="92" spans="15:16" x14ac:dyDescent="0.2">
      <c r="O92" s="34"/>
      <c r="P92" s="34"/>
    </row>
    <row r="93" spans="15:16" x14ac:dyDescent="0.2">
      <c r="O93" s="34"/>
      <c r="P93" s="34"/>
    </row>
    <row r="94" spans="15:16" x14ac:dyDescent="0.2">
      <c r="O94" s="34"/>
      <c r="P94" s="34"/>
    </row>
    <row r="95" spans="15:16" x14ac:dyDescent="0.2">
      <c r="O95" s="34"/>
      <c r="P95" s="34"/>
    </row>
    <row r="96" spans="15:16" x14ac:dyDescent="0.2">
      <c r="O96" s="34"/>
      <c r="P96" s="34"/>
    </row>
    <row r="97" spans="15:16" x14ac:dyDescent="0.2">
      <c r="O97" s="34"/>
      <c r="P97" s="34"/>
    </row>
    <row r="98" spans="15:16" x14ac:dyDescent="0.2">
      <c r="O98" s="34"/>
      <c r="P98" s="34"/>
    </row>
    <row r="99" spans="15:16" x14ac:dyDescent="0.2">
      <c r="O99" s="34"/>
      <c r="P99" s="34"/>
    </row>
    <row r="100" spans="15:16" x14ac:dyDescent="0.2">
      <c r="O100" s="34"/>
      <c r="P100" s="34"/>
    </row>
    <row r="101" spans="15:16" x14ac:dyDescent="0.2">
      <c r="O101" s="34"/>
      <c r="P101" s="34"/>
    </row>
    <row r="102" spans="15:16" x14ac:dyDescent="0.2">
      <c r="O102" s="34"/>
      <c r="P102" s="34"/>
    </row>
    <row r="103" spans="15:16" x14ac:dyDescent="0.2">
      <c r="O103" s="34"/>
      <c r="P103" s="34"/>
    </row>
    <row r="104" spans="15:16" x14ac:dyDescent="0.2">
      <c r="O104" s="34"/>
      <c r="P104" s="34"/>
    </row>
    <row r="105" spans="15:16" x14ac:dyDescent="0.2">
      <c r="O105" s="34"/>
      <c r="P105" s="34"/>
    </row>
    <row r="106" spans="15:16" x14ac:dyDescent="0.2">
      <c r="O106" s="34"/>
      <c r="P106" s="34"/>
    </row>
    <row r="107" spans="15:16" x14ac:dyDescent="0.2">
      <c r="O107" s="34"/>
      <c r="P107" s="34"/>
    </row>
    <row r="108" spans="15:16" x14ac:dyDescent="0.2">
      <c r="O108" s="34"/>
      <c r="P108" s="34"/>
    </row>
    <row r="109" spans="15:16" x14ac:dyDescent="0.2">
      <c r="O109" s="34"/>
      <c r="P109" s="34"/>
    </row>
    <row r="110" spans="15:16" x14ac:dyDescent="0.2">
      <c r="O110" s="34"/>
      <c r="P110" s="34"/>
    </row>
  </sheetData>
  <mergeCells count="10">
    <mergeCell ref="A20:E27"/>
    <mergeCell ref="N24:O24"/>
    <mergeCell ref="N25:O25"/>
    <mergeCell ref="A1:XFD2"/>
    <mergeCell ref="N3:O3"/>
    <mergeCell ref="N4:O4"/>
    <mergeCell ref="N13:O13"/>
    <mergeCell ref="N18:O18"/>
    <mergeCell ref="A19:B19"/>
    <mergeCell ref="C19:D19"/>
  </mergeCells>
  <hyperlinks>
    <hyperlink ref="F9" r:id="rId1" display="https://finbox.com/NASDAQGS:WING/explorer/revenue_proj" xr:uid="{FE47D938-E82F-8845-917E-D273F02742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 Desai</cp:lastModifiedBy>
  <dcterms:modified xsi:type="dcterms:W3CDTF">2023-10-31T08:42:34Z</dcterms:modified>
</cp:coreProperties>
</file>