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BCB56B89-F4E5-2242-AF9C-58172FDB57E9}"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7" i="1" l="1"/>
  <c r="AM6" i="1"/>
  <c r="AQ105" i="1"/>
  <c r="AP105" i="1"/>
  <c r="AO105" i="1"/>
  <c r="AN105" i="1"/>
  <c r="AM105" i="1"/>
  <c r="AU7" i="1"/>
  <c r="AT7" i="1"/>
  <c r="AS7" i="1"/>
  <c r="AM34" i="1" a="1"/>
  <c r="AM34" i="1" s="1"/>
  <c r="AM35" i="1" s="1"/>
  <c r="AM33" i="1" a="1"/>
  <c r="AM33" i="1" s="1"/>
  <c r="AS22" i="1"/>
  <c r="AM106" i="1"/>
  <c r="AQ106" i="1" l="1"/>
  <c r="AP106" i="1"/>
  <c r="AO106" i="1"/>
  <c r="AN106" i="1"/>
  <c r="AR106" i="1" l="1"/>
  <c r="AM109" i="1"/>
  <c r="AN109" i="1"/>
  <c r="AO109" i="1"/>
  <c r="AP109" i="1"/>
  <c r="AN30" i="1" l="1"/>
  <c r="AO30" i="1"/>
  <c r="AP30" i="1"/>
  <c r="AQ30" i="1"/>
  <c r="AM30" i="1"/>
  <c r="AM29" i="1"/>
  <c r="AN29" i="1"/>
  <c r="AO29" i="1"/>
  <c r="AP29" i="1"/>
  <c r="AQ29" i="1"/>
  <c r="AN21" i="1"/>
  <c r="AO21" i="1"/>
  <c r="AP21" i="1"/>
  <c r="AQ21" i="1"/>
  <c r="AM21" i="1"/>
  <c r="AM20" i="1"/>
  <c r="AN20" i="1"/>
  <c r="AO20" i="1"/>
  <c r="AP20" i="1"/>
  <c r="AQ20" i="1"/>
  <c r="AN117" i="1" a="1"/>
  <c r="AN117" i="1" s="1"/>
  <c r="AT102" i="1" a="1"/>
  <c r="AT102" i="1" s="1"/>
  <c r="AT96" i="1" a="1"/>
  <c r="AT96" i="1" s="1"/>
  <c r="AN115" i="1"/>
  <c r="AN112" i="1"/>
  <c r="AT92" i="1"/>
  <c r="AT91" i="1"/>
  <c r="AT90" i="1"/>
  <c r="AT89" i="1"/>
  <c r="AT93" i="1" s="1"/>
  <c r="AT88" i="1"/>
  <c r="AT87" i="1"/>
  <c r="AT100" i="1" s="1"/>
  <c r="AT86" i="1"/>
  <c r="AR19" i="1"/>
  <c r="AR16" i="1"/>
  <c r="AU13" i="1"/>
  <c r="AT13" i="1"/>
  <c r="AS13" i="1"/>
  <c r="AR13" i="1"/>
  <c r="AU10" i="1"/>
  <c r="AT10" i="1"/>
  <c r="AS10" i="1"/>
  <c r="AR10" i="1"/>
  <c r="AT4" i="1"/>
  <c r="AS4" i="1"/>
  <c r="AR4" i="1"/>
  <c r="AQ4" i="1"/>
  <c r="AP4" i="1"/>
  <c r="AO4" i="1"/>
  <c r="AN4" i="1"/>
  <c r="AM4" i="1"/>
  <c r="AL9" i="1"/>
  <c r="AL13" i="1"/>
  <c r="AL20" i="1"/>
  <c r="AL29" i="1"/>
  <c r="AL35" i="1"/>
  <c r="AL80" i="1"/>
  <c r="AL89"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22" i="1" l="1"/>
  <c r="F105" i="1"/>
  <c r="N105" i="1"/>
  <c r="V105" i="1"/>
  <c r="AD105" i="1"/>
  <c r="AL105" i="1"/>
  <c r="G105" i="1"/>
  <c r="O105" i="1"/>
  <c r="W105" i="1"/>
  <c r="AE105" i="1"/>
  <c r="P105" i="1"/>
  <c r="X105" i="1"/>
  <c r="AF105" i="1"/>
  <c r="I105" i="1"/>
  <c r="Q105" i="1"/>
  <c r="Y105" i="1"/>
  <c r="AG105" i="1"/>
  <c r="B105" i="1"/>
  <c r="J105" i="1"/>
  <c r="R105" i="1"/>
  <c r="Z105" i="1"/>
  <c r="AH105" i="1"/>
  <c r="C105" i="1"/>
  <c r="K105" i="1"/>
  <c r="S105" i="1"/>
  <c r="AA105" i="1"/>
  <c r="AI105" i="1"/>
  <c r="D105" i="1"/>
  <c r="L105" i="1"/>
  <c r="T105" i="1"/>
  <c r="AB105" i="1"/>
  <c r="AJ105" i="1"/>
  <c r="E105" i="1"/>
  <c r="M105" i="1"/>
  <c r="U105" i="1"/>
  <c r="AC105" i="1"/>
  <c r="AK105" i="1"/>
  <c r="H105" i="1"/>
  <c r="AU19" i="1"/>
  <c r="AT19" i="1"/>
  <c r="AS19" i="1"/>
  <c r="AT22" i="1"/>
  <c r="AT16" i="1"/>
  <c r="AS16" i="1"/>
  <c r="AU16" i="1"/>
  <c r="AT107" i="1"/>
  <c r="AN113" i="1"/>
  <c r="AT104" i="1"/>
  <c r="AT103" i="1" s="1"/>
  <c r="AT101" i="1" l="1"/>
  <c r="AT95" i="1" l="1"/>
  <c r="AT98" i="1" s="1"/>
  <c r="AT106" i="1" s="1"/>
  <c r="AT109" i="1" s="1"/>
  <c r="AQ108" i="1" s="1"/>
  <c r="AQ109" i="1" s="1"/>
  <c r="AN111" i="1" s="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<sst xmlns="http://schemas.openxmlformats.org/spreadsheetml/2006/main" count="1100" uniqueCount="168">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</sst>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9"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8" borderId="0" xfId="0" applyNumberFormat="1" applyFont="1" applyFill="1" applyAlignment="1">
      <alignment vertical="center" wrapText="1"/>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0" borderId="5" xfId="0" applyNumberFormat="1" applyFont="1" applyBorder="1" applyAlignment="1">
      <alignment horizontal="center"/>
    </xf>
    <xf numFmtId="0" fontId="13" fillId="3" borderId="7" xfId="0" applyFont="1" applyFill="1" applyBorder="1" applyAlignment="1">
      <alignment horizontal="center" vertical="center" wrapText="1"/>
    </xf>
    <xf numFmtId="10" fontId="11" fillId="8" borderId="0" xfId="0" applyNumberFormat="1" applyFont="1" applyFill="1"/>
    <xf numFmtId="165" fontId="10" fillId="8" borderId="0" xfId="0" applyNumberFormat="1" applyFont="1" applyFill="1" applyAlignment="1">
      <alignment vertical="center"/>
    </xf>
    <xf numFmtId="0" fontId="0" fillId="7" borderId="0" xfId="0" applyFill="1" applyAlignment="1">
      <alignment vertical="center"/>
    </xf>
    <xf numFmtId="9" fontId="11" fillId="0" borderId="0" xfId="0" applyNumberFormat="1" applyFont="1"/>
    <xf numFmtId="0" fontId="0" fillId="8" borderId="0" xfId="0" applyFill="1" applyAlignment="1">
      <alignment horizontal="center" vertical="center"/>
    </xf>
    <xf numFmtId="0" fontId="13" fillId="3" borderId="6"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8"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Fair Isaac Corporation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4834437086093"/>
          <c:y val="0.15463198401910822"/>
          <c:w val="0.82340397350993366"/>
          <c:h val="0.618055302943748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pt idx="37">
                  <c:v>1481000000</c:v>
                </c:pt>
                <c:pt idx="38">
                  <c:v>1623000000</c:v>
                </c:pt>
                <c:pt idx="39">
                  <c:v>1781000000</c:v>
                </c:pt>
                <c:pt idx="40">
                  <c:v>1943000000</c:v>
                </c:pt>
                <c:pt idx="41">
                  <c:v>2119000000</c:v>
                </c:pt>
              </c:numCache>
            </c:numRef>
          </c:val>
          <c:extLst>
            <c:ext xmlns:c16="http://schemas.microsoft.com/office/drawing/2014/chart" uri="{C3380CC4-5D6E-409C-BE32-E72D297353CC}">
              <c16:uniqueId val="{00000000-2F6F-E344-8D33-821993BA827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1600000</c:v>
                </c:pt>
                <c:pt idx="1">
                  <c:v>2100000</c:v>
                </c:pt>
                <c:pt idx="2">
                  <c:v>2400000</c:v>
                </c:pt>
                <c:pt idx="3">
                  <c:v>2000000</c:v>
                </c:pt>
                <c:pt idx="4">
                  <c:v>1600000</c:v>
                </c:pt>
                <c:pt idx="5">
                  <c:v>2800000</c:v>
                </c:pt>
                <c:pt idx="6">
                  <c:v>3900000</c:v>
                </c:pt>
                <c:pt idx="7">
                  <c:v>5300000</c:v>
                </c:pt>
                <c:pt idx="8">
                  <c:v>10000000</c:v>
                </c:pt>
                <c:pt idx="9">
                  <c:v>12700000</c:v>
                </c:pt>
                <c:pt idx="10">
                  <c:v>16200000</c:v>
                </c:pt>
                <c:pt idx="11">
                  <c:v>20700000</c:v>
                </c:pt>
                <c:pt idx="12">
                  <c:v>24300000</c:v>
                </c:pt>
                <c:pt idx="13">
                  <c:v>29100000</c:v>
                </c:pt>
                <c:pt idx="14">
                  <c:v>27631000</c:v>
                </c:pt>
                <c:pt idx="15">
                  <c:v>46112000</c:v>
                </c:pt>
                <c:pt idx="16">
                  <c:v>17884000</c:v>
                </c:pt>
                <c:pt idx="17">
                  <c:v>107157000</c:v>
                </c:pt>
                <c:pt idx="18">
                  <c:v>102788000</c:v>
                </c:pt>
                <c:pt idx="19">
                  <c:v>134548000</c:v>
                </c:pt>
                <c:pt idx="20">
                  <c:v>103486000</c:v>
                </c:pt>
                <c:pt idx="21">
                  <c:v>104650000</c:v>
                </c:pt>
                <c:pt idx="22">
                  <c:v>83952000</c:v>
                </c:pt>
                <c:pt idx="23">
                  <c:v>65102000</c:v>
                </c:pt>
                <c:pt idx="24">
                  <c:v>64457000</c:v>
                </c:pt>
                <c:pt idx="25">
                  <c:v>71562000</c:v>
                </c:pt>
                <c:pt idx="26">
                  <c:v>92004000</c:v>
                </c:pt>
                <c:pt idx="27">
                  <c:v>90095000</c:v>
                </c:pt>
                <c:pt idx="28">
                  <c:v>94879000</c:v>
                </c:pt>
                <c:pt idx="29">
                  <c:v>86502000</c:v>
                </c:pt>
                <c:pt idx="30">
                  <c:v>109448000</c:v>
                </c:pt>
                <c:pt idx="31">
                  <c:v>128256000</c:v>
                </c:pt>
                <c:pt idx="32">
                  <c:v>142415000</c:v>
                </c:pt>
                <c:pt idx="33">
                  <c:v>192124000</c:v>
                </c:pt>
                <c:pt idx="34">
                  <c:v>236411000</c:v>
                </c:pt>
                <c:pt idx="35">
                  <c:v>392084000</c:v>
                </c:pt>
                <c:pt idx="36">
                  <c:v>373541000</c:v>
                </c:pt>
                <c:pt idx="37">
                  <c:v>495300000</c:v>
                </c:pt>
                <c:pt idx="38">
                  <c:v>568300000</c:v>
                </c:pt>
                <c:pt idx="39">
                  <c:v>660000000</c:v>
                </c:pt>
                <c:pt idx="40">
                  <c:v>755000000</c:v>
                </c:pt>
                <c:pt idx="41">
                  <c:v>857000000</c:v>
                </c:pt>
              </c:numCache>
            </c:numRef>
          </c:val>
          <c:extLst>
            <c:ext xmlns:c16="http://schemas.microsoft.com/office/drawing/2014/chart" uri="{C3380CC4-5D6E-409C-BE32-E72D297353CC}">
              <c16:uniqueId val="{00000001-2F6F-E344-8D33-821993BA82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pt idx="37">
                  <c:v>648000000</c:v>
                </c:pt>
                <c:pt idx="38">
                  <c:v>736000000</c:v>
                </c:pt>
                <c:pt idx="39">
                  <c:v>897200000</c:v>
                </c:pt>
                <c:pt idx="40">
                  <c:v>1003000000</c:v>
                </c:pt>
                <c:pt idx="41">
                  <c:v>1135000000</c:v>
                </c:pt>
              </c:numCache>
            </c:numRef>
          </c:val>
          <c:extLst>
            <c:ext xmlns:c16="http://schemas.microsoft.com/office/drawing/2014/chart" uri="{C3380CC4-5D6E-409C-BE32-E72D297353CC}">
              <c16:uniqueId val="{00000002-2F6F-E344-8D33-821993BA827E}"/>
            </c:ext>
          </c:extLst>
        </c:ser>
        <c:dLbls>
          <c:showLegendKey val="0"/>
          <c:showVal val="0"/>
          <c:showCatName val="0"/>
          <c:showSerName val="0"/>
          <c:showPercent val="0"/>
          <c:showBubbleSize val="0"/>
        </c:dLbls>
        <c:gapWidth val="150"/>
        <c:overlap val="100"/>
        <c:axId val="1846198192"/>
        <c:axId val="1846199920"/>
      </c:barChart>
      <c:catAx>
        <c:axId val="18461981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46199920"/>
        <c:crosses val="autoZero"/>
        <c:auto val="1"/>
        <c:lblAlgn val="ctr"/>
        <c:lblOffset val="100"/>
        <c:noMultiLvlLbl val="0"/>
      </c:catAx>
      <c:valAx>
        <c:axId val="18461999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198192"/>
        <c:crosses val="autoZero"/>
        <c:crossBetween val="between"/>
      </c:valAx>
      <c:spPr>
        <a:noFill/>
        <a:ln>
          <a:noFill/>
        </a:ln>
        <a:effectLst/>
      </c:spPr>
    </c:plotArea>
    <c:legend>
      <c:legendPos val="b"/>
      <c:layout>
        <c:manualLayout>
          <c:xMode val="edge"/>
          <c:yMode val="edge"/>
          <c:x val="0.34285008082598945"/>
          <c:y val="0.89101746001574933"/>
          <c:w val="0.31429983834802105"/>
          <c:h val="6.66889192763102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109</xdr:row>
      <xdr:rowOff>33338</xdr:rowOff>
    </xdr:from>
    <xdr:to>
      <xdr:col>45</xdr:col>
      <xdr:colOff>1587500</xdr:colOff>
      <xdr:row>125</xdr:row>
      <xdr:rowOff>174625</xdr:rowOff>
    </xdr:to>
    <xdr:graphicFrame macro="">
      <xdr:nvGraphicFramePr>
        <xdr:cNvPr id="3" name="Chart 2">
          <a:extLst>
            <a:ext uri="{FF2B5EF4-FFF2-40B4-BE49-F238E27FC236}">
              <a16:creationId xmlns:a16="http://schemas.microsoft.com/office/drawing/2014/main" id="{680ECC98-2445-D73F-9135-5DF5E1A3C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940.1</v>
    <v>427.09</v>
    <v>1.1752</v>
    <v>29.7</v>
    <v>3.4098999999999997E-2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907.47</v>
    <v>Software &amp; IT Services</v>
    <v>Stock</v>
    <v>45232.970249964841</v>
    <v>0</v>
    <v>879.69</v>
    <v>22388640474</v>
    <v>FAIR ISAAC CORPORATION</v>
    <v>FAIR ISAAC CORPORATION</v>
    <v>879.69</v>
    <v>54.711599999999997</v>
    <v>870.99</v>
    <v>900.69</v>
    <v>24857210</v>
    <v>FICO</v>
    <v>FAIR ISAAC CORPORATION (XNYS:FICO)</v>
    <v>191740</v>
    <v>206061</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hyperlink" Target="https://finbox.com/NYSE:FICO/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H81" activePane="bottomRight" state="frozen"/>
      <selection pane="topRight"/>
      <selection pane="bottomLeft"/>
      <selection pane="bottomRight" activeCell="AM92" sqref="AM92"/>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4">
        <v>1481000000</v>
      </c>
      <c r="AN3" s="24">
        <v>1623000000</v>
      </c>
      <c r="AO3" s="24">
        <v>1781000000</v>
      </c>
      <c r="AP3" s="24">
        <v>1943000000</v>
      </c>
      <c r="AQ3" s="24">
        <v>2119000000</v>
      </c>
      <c r="AR3" s="18" t="s">
        <v>107</v>
      </c>
      <c r="AS3" s="19" t="s">
        <v>108</v>
      </c>
      <c r="AT3" s="19" t="s">
        <v>109</v>
      </c>
      <c r="AU3" s="19" t="s">
        <v>110</v>
      </c>
    </row>
    <row r="4" spans="1:47" ht="19" x14ac:dyDescent="0.25">
      <c r="A4" s="14" t="s">
        <v>93</v>
      </c>
      <c r="B4" s="1"/>
      <c r="C4" s="71">
        <f>(C3/B3)-1</f>
        <v>0.22297297297297303</v>
      </c>
      <c r="D4" s="71">
        <f>(D3/C3)-1</f>
        <v>0.16022099447513805</v>
      </c>
      <c r="E4" s="71">
        <f>(E3/D3)-1</f>
        <v>0.10476190476190483</v>
      </c>
      <c r="F4" s="71">
        <f t="shared" ref="F4:AQ4" si="0">(F3/E3)-1</f>
        <v>9.9137931034482651E-2</v>
      </c>
      <c r="G4" s="71">
        <f t="shared" si="0"/>
        <v>0.24705882352941178</v>
      </c>
      <c r="H4" s="71">
        <f t="shared" si="0"/>
        <v>0.33962264150943389</v>
      </c>
      <c r="I4" s="71">
        <f t="shared" si="0"/>
        <v>0.56572769953051649</v>
      </c>
      <c r="J4" s="71">
        <f t="shared" si="0"/>
        <v>0.35382308845577204</v>
      </c>
      <c r="K4" s="71">
        <f t="shared" si="0"/>
        <v>0.26135105204872655</v>
      </c>
      <c r="L4" s="71">
        <f t="shared" si="0"/>
        <v>0.3055311676909569</v>
      </c>
      <c r="M4" s="71">
        <f t="shared" si="0"/>
        <v>0.33826496301277742</v>
      </c>
      <c r="N4" s="71">
        <f t="shared" si="0"/>
        <v>0.23366834170854278</v>
      </c>
      <c r="O4" s="71">
        <f t="shared" si="0"/>
        <v>0.12790224032586561</v>
      </c>
      <c r="P4" s="71">
        <f t="shared" si="0"/>
        <v>7.6146623329721885E-2</v>
      </c>
      <c r="Q4" s="71">
        <f t="shared" si="0"/>
        <v>0.10457908955148754</v>
      </c>
      <c r="R4" s="71">
        <f t="shared" si="0"/>
        <v>0.19222355900689059</v>
      </c>
      <c r="S4" s="71">
        <f t="shared" si="0"/>
        <v>0.60363438985979245</v>
      </c>
      <c r="T4" s="71">
        <f t="shared" si="0"/>
        <v>0.12221771982933283</v>
      </c>
      <c r="U4" s="71">
        <f t="shared" si="0"/>
        <v>0.13093205098795546</v>
      </c>
      <c r="V4" s="71">
        <f t="shared" si="0"/>
        <v>3.342302399861774E-2</v>
      </c>
      <c r="W4" s="71">
        <f t="shared" si="0"/>
        <v>-3.7910500202940067E-3</v>
      </c>
      <c r="X4" s="71">
        <f t="shared" si="0"/>
        <v>-9.4126260586984811E-2</v>
      </c>
      <c r="Y4" s="71">
        <f t="shared" si="0"/>
        <v>-0.15319624833186096</v>
      </c>
      <c r="Z4" s="71">
        <f t="shared" si="0"/>
        <v>-3.9782158909843268E-2</v>
      </c>
      <c r="AA4" s="71">
        <f t="shared" si="0"/>
        <v>2.3181973538866973E-2</v>
      </c>
      <c r="AB4" s="71">
        <f t="shared" si="0"/>
        <v>9.156294427957512E-2</v>
      </c>
      <c r="AC4" s="71">
        <f t="shared" si="0"/>
        <v>9.9081491906691577E-2</v>
      </c>
      <c r="AD4" s="71">
        <f t="shared" si="0"/>
        <v>6.125679943613771E-2</v>
      </c>
      <c r="AE4" s="71">
        <f t="shared" si="0"/>
        <v>6.3114000899890277E-2</v>
      </c>
      <c r="AF4" s="71">
        <f t="shared" si="0"/>
        <v>5.0758183602156004E-2</v>
      </c>
      <c r="AG4" s="71">
        <f t="shared" si="0"/>
        <v>5.7653207103599557E-2</v>
      </c>
      <c r="AH4" s="71">
        <f t="shared" si="0"/>
        <v>0.10760495146266402</v>
      </c>
      <c r="AI4" s="71">
        <f t="shared" si="0"/>
        <v>0.12359427589045735</v>
      </c>
      <c r="AJ4" s="71">
        <f t="shared" si="0"/>
        <v>0.11592187800355669</v>
      </c>
      <c r="AK4" s="71">
        <f t="shared" si="0"/>
        <v>1.6974080808798586E-2</v>
      </c>
      <c r="AL4" s="71">
        <f t="shared" si="0"/>
        <v>4.6131666737559751E-2</v>
      </c>
      <c r="AM4" s="16">
        <f t="shared" si="0"/>
        <v>7.5315660691077202E-2</v>
      </c>
      <c r="AN4" s="16">
        <f t="shared" si="0"/>
        <v>9.5881161377447732E-2</v>
      </c>
      <c r="AO4" s="16">
        <f t="shared" si="0"/>
        <v>9.7350585335797879E-2</v>
      </c>
      <c r="AP4" s="16">
        <f t="shared" si="0"/>
        <v>9.0960134755755151E-2</v>
      </c>
      <c r="AQ4" s="16">
        <f t="shared" si="0"/>
        <v>9.05815748841996E-2</v>
      </c>
      <c r="AR4" s="17">
        <f>(AL4+AK4+AJ4)/3</f>
        <v>5.9675875183305006E-2</v>
      </c>
      <c r="AS4" s="17">
        <f>(AL20+AK20+AJ20)/3</f>
        <v>0.27407746676257178</v>
      </c>
      <c r="AT4" s="17">
        <f>(AL29+AK29+AJ29)/3</f>
        <v>0.2805679122605827</v>
      </c>
      <c r="AU4" s="17">
        <f>(AL106+AK106+AJ106)/3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M6" s="30">
        <f>AM3*AM7</f>
        <v>1214123800</v>
      </c>
      <c r="AR6" s="73" t="s">
        <v>111</v>
      </c>
      <c r="AS6" s="67" t="s">
        <v>112</v>
      </c>
      <c r="AT6" s="67" t="s">
        <v>113</v>
      </c>
      <c r="AU6" s="67" t="s">
        <v>114</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M7" s="28">
        <v>0.81979999999999997</v>
      </c>
      <c r="AR7" s="17">
        <f>AM7</f>
        <v>0.81979999999999997</v>
      </c>
      <c r="AS7" s="20">
        <f>AM21</f>
        <v>0.52282241728561785</v>
      </c>
      <c r="AT7" s="20">
        <f>AM30</f>
        <v>0.33443619176232275</v>
      </c>
      <c r="AU7" s="20">
        <f>AM107/AM3</f>
        <v>0.437542201215395</v>
      </c>
    </row>
    <row r="8" spans="1:47" ht="19" x14ac:dyDescent="0.25">
      <c r="A8" s="5" t="s">
        <v>5</v>
      </c>
      <c r="B8" s="1" t="s">
        <v>91</v>
      </c>
      <c r="C8" s="1" t="s">
        <v>91</v>
      </c>
      <c r="D8" s="1" t="s">
        <v>91</v>
      </c>
      <c r="E8" s="1" t="s">
        <v>91</v>
      </c>
      <c r="F8" s="1" t="s">
        <v>91</v>
      </c>
      <c r="G8" s="1" t="s">
        <v>91</v>
      </c>
      <c r="H8" s="1" t="s">
        <v>91</v>
      </c>
      <c r="I8" s="1" t="s">
        <v>91</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91</v>
      </c>
      <c r="AL10" s="1" t="s">
        <v>91</v>
      </c>
      <c r="AR10" s="17">
        <f>AL9</f>
        <v>0.10655717470067598</v>
      </c>
      <c r="AS10" s="20">
        <f>AL13</f>
        <v>0.27871296114777783</v>
      </c>
      <c r="AT10" s="20">
        <f>AL80</f>
        <v>8.375627146456395E-2</v>
      </c>
      <c r="AU10" s="20">
        <f>AL89</f>
        <v>4.3775004174925755E-3</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115</v>
      </c>
      <c r="AS12" s="19" t="s">
        <v>116</v>
      </c>
      <c r="AT12" s="19" t="s">
        <v>117</v>
      </c>
      <c r="AU12" s="19" t="s">
        <v>118</v>
      </c>
    </row>
    <row r="13" spans="1:47" ht="19" x14ac:dyDescent="0.25">
      <c r="A13" s="14" t="s">
        <v>99</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119</v>
      </c>
      <c r="AS15" s="19" t="s">
        <v>120</v>
      </c>
      <c r="AT15" s="19" t="s">
        <v>121</v>
      </c>
      <c r="AU15" s="19" t="s">
        <v>122</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5">
        <f>(AL35+AK35+AJ35+AI35+AH35)/5</f>
        <v>-3.9080036930294715E-2</v>
      </c>
      <c r="AS16" s="32">
        <f>AT102/AL3</f>
        <v>16.255810751704459</v>
      </c>
      <c r="AT16" s="32">
        <f>AT102/AL28</f>
        <v>59.936233168514299</v>
      </c>
      <c r="AU16" s="33">
        <f>AT102/AL107</f>
        <v>44.472996704547484</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7"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123</v>
      </c>
      <c r="AS18" s="19" t="s">
        <v>157</v>
      </c>
      <c r="AT18" s="19" t="s">
        <v>158</v>
      </c>
      <c r="AU18" s="19" t="s">
        <v>159</v>
      </c>
    </row>
    <row r="19" spans="1:47"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M19" s="30">
        <v>774300000</v>
      </c>
      <c r="AN19" s="30">
        <v>882100000</v>
      </c>
      <c r="AO19" s="30">
        <v>1004000000</v>
      </c>
      <c r="AP19" s="30">
        <v>1115000000</v>
      </c>
      <c r="AQ19" s="30">
        <v>1237000000</v>
      </c>
      <c r="AR19" s="26">
        <f>AL40-AL56-AL61</f>
        <v>-1779028000</v>
      </c>
      <c r="AS19" s="32">
        <f>AT102/AM3</f>
        <v>15.117245424713031</v>
      </c>
      <c r="AT19" s="32">
        <f>AT102/AM28</f>
        <v>45.202181453664444</v>
      </c>
      <c r="AU19" s="33">
        <f>AT102/AM107</f>
        <v>34.550371101851852</v>
      </c>
    </row>
    <row r="20" spans="1:47" ht="19" customHeight="1" x14ac:dyDescent="0.25">
      <c r="A20" s="14" t="s">
        <v>100</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c r="AM20" s="16">
        <f t="shared" ref="AM20" si="4">(AM19/AL19)-1</f>
        <v>0.38085140911757831</v>
      </c>
      <c r="AN20" s="16">
        <f t="shared" ref="AN20" si="5">(AN19/AM19)-1</f>
        <v>0.13922252356967579</v>
      </c>
      <c r="AO20" s="16">
        <f t="shared" ref="AO20" si="6">(AO19/AN19)-1</f>
        <v>0.13819294864527842</v>
      </c>
      <c r="AP20" s="16">
        <f t="shared" ref="AP20" si="7">(AP19/AO19)-1</f>
        <v>0.11055776892430269</v>
      </c>
      <c r="AQ20" s="16">
        <f t="shared" ref="AQ20" si="8">(AQ19/AP19)-1</f>
        <v>0.10941704035874444</v>
      </c>
    </row>
    <row r="21" spans="1:47" ht="20"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c r="AM21" s="31">
        <f>AM19/AM3</f>
        <v>0.52282241728561785</v>
      </c>
      <c r="AN21" s="31">
        <f t="shared" ref="AN21:AQ21" si="9">AN19/AN3</f>
        <v>0.54349969192852743</v>
      </c>
      <c r="AO21" s="31">
        <f t="shared" si="9"/>
        <v>0.56372824256035936</v>
      </c>
      <c r="AP21" s="31">
        <f t="shared" si="9"/>
        <v>0.57385486361296967</v>
      </c>
      <c r="AQ21" s="31">
        <f t="shared" si="9"/>
        <v>0.58376592732420951</v>
      </c>
      <c r="AS21" s="42" t="s">
        <v>167</v>
      </c>
      <c r="AT21" s="18" t="s">
        <v>164</v>
      </c>
      <c r="AU21" s="19" t="s">
        <v>166</v>
      </c>
    </row>
    <row r="22" spans="1:47"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c r="AS22" s="17">
        <f>SUM(AM29:AQ29)/5</f>
        <v>0.1827482912124157</v>
      </c>
      <c r="AT22" s="66">
        <f>(-1*AL98)/AT102</f>
        <v>0</v>
      </c>
      <c r="AU22" s="41">
        <f>AM107/AT102</f>
        <v>2.8943249178194831E-2</v>
      </c>
    </row>
    <row r="23" spans="1:47"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7"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7"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7"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7"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7" ht="20" thickBot="1" x14ac:dyDescent="0.3">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c r="AM28" s="27">
        <v>495300000</v>
      </c>
      <c r="AN28" s="27">
        <v>568300000</v>
      </c>
      <c r="AO28" s="27">
        <v>660000000</v>
      </c>
      <c r="AP28" s="27">
        <v>755000000</v>
      </c>
      <c r="AQ28" s="27">
        <v>857000000</v>
      </c>
    </row>
    <row r="29" spans="1:47" ht="20" customHeight="1" thickTop="1" x14ac:dyDescent="0.25">
      <c r="A29" s="14" t="s">
        <v>101</v>
      </c>
      <c r="B29" s="1"/>
      <c r="C29" s="15">
        <f>(C28/B28)-1</f>
        <v>0.3125</v>
      </c>
      <c r="D29" s="15">
        <f>(D28/C28)-1</f>
        <v>0.14285714285714279</v>
      </c>
      <c r="E29" s="15">
        <f>(E28/D28)-1</f>
        <v>-0.16666666666666663</v>
      </c>
      <c r="F29" s="15">
        <f t="shared" ref="F29:AL29" si="10">(F28/E28)-1</f>
        <v>-0.19999999999999996</v>
      </c>
      <c r="G29" s="15">
        <f t="shared" si="10"/>
        <v>0.75</v>
      </c>
      <c r="H29" s="15">
        <f t="shared" si="10"/>
        <v>0.39285714285714279</v>
      </c>
      <c r="I29" s="15">
        <f t="shared" si="10"/>
        <v>0.35897435897435903</v>
      </c>
      <c r="J29" s="15">
        <f t="shared" si="10"/>
        <v>0.8867924528301887</v>
      </c>
      <c r="K29" s="15">
        <f t="shared" si="10"/>
        <v>0.27</v>
      </c>
      <c r="L29" s="15">
        <f t="shared" si="10"/>
        <v>0.27559055118110232</v>
      </c>
      <c r="M29" s="15">
        <f t="shared" si="10"/>
        <v>0.27777777777777768</v>
      </c>
      <c r="N29" s="15">
        <f t="shared" si="10"/>
        <v>0.17391304347826098</v>
      </c>
      <c r="O29" s="15">
        <f t="shared" si="10"/>
        <v>0.19753086419753085</v>
      </c>
      <c r="P29" s="15">
        <f t="shared" si="10"/>
        <v>-5.0481099656357387E-2</v>
      </c>
      <c r="Q29" s="15">
        <f t="shared" si="10"/>
        <v>0.66885020448047472</v>
      </c>
      <c r="R29" s="15">
        <f t="shared" si="10"/>
        <v>-0.61216169326856351</v>
      </c>
      <c r="S29" s="15">
        <f t="shared" si="10"/>
        <v>4.9917803623350485</v>
      </c>
      <c r="T29" s="15">
        <f t="shared" si="10"/>
        <v>-4.0771951435743858E-2</v>
      </c>
      <c r="U29" s="15">
        <f t="shared" si="10"/>
        <v>0.30898548468692844</v>
      </c>
      <c r="V29" s="15">
        <f t="shared" si="10"/>
        <v>-0.23086184855962189</v>
      </c>
      <c r="W29" s="15">
        <f t="shared" si="10"/>
        <v>1.1247898266432133E-2</v>
      </c>
      <c r="X29" s="15">
        <f t="shared" si="10"/>
        <v>-0.19778308647873866</v>
      </c>
      <c r="Y29" s="15">
        <f t="shared" si="10"/>
        <v>-0.22453306651419858</v>
      </c>
      <c r="Z29" s="15">
        <f t="shared" si="10"/>
        <v>-9.9075297225891257E-3</v>
      </c>
      <c r="AA29" s="15">
        <f t="shared" si="10"/>
        <v>0.11022852444265174</v>
      </c>
      <c r="AB29" s="15">
        <f t="shared" si="10"/>
        <v>0.28565439758531075</v>
      </c>
      <c r="AC29" s="15">
        <f t="shared" si="10"/>
        <v>-2.0749097865310207E-2</v>
      </c>
      <c r="AD29" s="15">
        <f t="shared" si="10"/>
        <v>5.3099506076918823E-2</v>
      </c>
      <c r="AE29" s="15">
        <f t="shared" si="10"/>
        <v>-8.8291402734008595E-2</v>
      </c>
      <c r="AF29" s="15">
        <f t="shared" si="10"/>
        <v>0.26526554299322558</v>
      </c>
      <c r="AG29" s="15">
        <f t="shared" si="10"/>
        <v>0.17184416343834519</v>
      </c>
      <c r="AH29" s="15">
        <f t="shared" si="10"/>
        <v>0.11039639471057883</v>
      </c>
      <c r="AI29" s="15">
        <f t="shared" si="10"/>
        <v>0.3490432889793913</v>
      </c>
      <c r="AJ29" s="15">
        <f t="shared" si="10"/>
        <v>0.230512585621786</v>
      </c>
      <c r="AK29" s="15">
        <f t="shared" si="10"/>
        <v>0.65848458828057921</v>
      </c>
      <c r="AL29" s="15">
        <f t="shared" si="10"/>
        <v>-4.7293437120617066E-2</v>
      </c>
      <c r="AM29" s="16">
        <f t="shared" ref="AM29" si="11">(AM28/AL28)-1</f>
        <v>0.32595886395335461</v>
      </c>
      <c r="AN29" s="16">
        <f t="shared" ref="AN29" si="12">(AN28/AM28)-1</f>
        <v>0.14738542297597412</v>
      </c>
      <c r="AO29" s="16">
        <f t="shared" ref="AO29" si="13">(AO28/AN28)-1</f>
        <v>0.16135843744501144</v>
      </c>
      <c r="AP29" s="16">
        <f t="shared" ref="AP29" si="14">(AP28/AO28)-1</f>
        <v>0.14393939393939403</v>
      </c>
      <c r="AQ29" s="16">
        <f t="shared" ref="AQ29" si="15">(AQ28/AP28)-1</f>
        <v>0.13509933774834426</v>
      </c>
    </row>
    <row r="30" spans="1:47"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c r="AM30" s="28">
        <f>AM28/AM3</f>
        <v>0.33443619176232275</v>
      </c>
      <c r="AN30" s="28">
        <f t="shared" ref="AN30:AQ30" si="16">AN28/AN3</f>
        <v>0.35015403573629084</v>
      </c>
      <c r="AO30" s="28">
        <f t="shared" si="16"/>
        <v>0.37057832678270636</v>
      </c>
      <c r="AP30" s="28">
        <f t="shared" si="16"/>
        <v>0.38857436953165209</v>
      </c>
      <c r="AQ30" s="28">
        <f t="shared" si="16"/>
        <v>0.4044360547428032</v>
      </c>
    </row>
    <row r="31" spans="1:47"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c r="AM31" s="29">
        <v>19.82</v>
      </c>
      <c r="AN31" s="29">
        <v>22.74</v>
      </c>
      <c r="AO31" s="29">
        <v>26.41</v>
      </c>
      <c r="AP31" s="29">
        <v>30.21</v>
      </c>
      <c r="AQ31" s="29">
        <v>34.29</v>
      </c>
    </row>
    <row r="32" spans="1:47"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9"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c r="AM33" s="1" cm="1">
        <f t="array" ref="AM33">_FV(A1,"Shares outstanding",TRUE)</f>
        <v>24857210</v>
      </c>
    </row>
    <row r="34" spans="1:39"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c r="AM34" s="1" cm="1">
        <f t="array" ref="AM34">_FV(A1,"Shares outstanding",TRUE)</f>
        <v>24857210</v>
      </c>
    </row>
    <row r="35" spans="1:39" ht="20" customHeight="1" x14ac:dyDescent="0.25">
      <c r="A35" s="14" t="s">
        <v>102</v>
      </c>
      <c r="B35" s="1"/>
      <c r="C35" s="22">
        <f>(C34-B34)/B34</f>
        <v>0.12498495255623604</v>
      </c>
      <c r="D35" s="22">
        <f t="shared" ref="D35:AM35" si="17">(D34-C34)/C34</f>
        <v>0.1428571470963266</v>
      </c>
      <c r="E35" s="22">
        <f t="shared" si="17"/>
        <v>2.9417618286090318E-2</v>
      </c>
      <c r="F35" s="22">
        <f t="shared" si="17"/>
        <v>-2.8553570687645812E-2</v>
      </c>
      <c r="G35" s="22">
        <f t="shared" si="17"/>
        <v>2.0812861505243117E-2</v>
      </c>
      <c r="H35" s="22">
        <f t="shared" si="17"/>
        <v>1.2994767028497349E-2</v>
      </c>
      <c r="I35" s="22">
        <f t="shared" si="17"/>
        <v>1.9225569794653872E-2</v>
      </c>
      <c r="J35" s="22">
        <f t="shared" si="17"/>
        <v>5.0873169985083698E-2</v>
      </c>
      <c r="K35" s="22">
        <f t="shared" si="17"/>
        <v>6.6238894174130798E-3</v>
      </c>
      <c r="L35" s="22">
        <f t="shared" si="17"/>
        <v>2.0435431894993321E-3</v>
      </c>
      <c r="M35" s="22">
        <f t="shared" si="17"/>
        <v>0.11396972311553848</v>
      </c>
      <c r="N35" s="22">
        <f t="shared" si="17"/>
        <v>1.8377693282636248E-2</v>
      </c>
      <c r="O35" s="22">
        <f t="shared" si="17"/>
        <v>-6.8450528935905417E-3</v>
      </c>
      <c r="P35" s="22">
        <f t="shared" si="17"/>
        <v>1.8866610971874129E-2</v>
      </c>
      <c r="Q35" s="22">
        <f t="shared" si="17"/>
        <v>5.0404281972440498E-2</v>
      </c>
      <c r="R35" s="22">
        <f t="shared" si="17"/>
        <v>8.5620943377134023E-2</v>
      </c>
      <c r="S35" s="22">
        <f t="shared" si="17"/>
        <v>0.34884154460719041</v>
      </c>
      <c r="T35" s="22">
        <f t="shared" si="17"/>
        <v>-3.8717447531047007E-2</v>
      </c>
      <c r="U35" s="22">
        <f t="shared" si="17"/>
        <v>7.5583305948077554E-3</v>
      </c>
      <c r="V35" s="22">
        <f t="shared" si="17"/>
        <v>-0.11495705588171341</v>
      </c>
      <c r="W35" s="22">
        <f t="shared" si="17"/>
        <v>-0.11634548944337812</v>
      </c>
      <c r="X35" s="22">
        <f t="shared" si="17"/>
        <v>-0.14205532772641968</v>
      </c>
      <c r="Y35" s="22">
        <f t="shared" si="17"/>
        <v>-1.2091629028011261E-2</v>
      </c>
      <c r="Z35" s="22">
        <f t="shared" si="17"/>
        <v>-7.110054124979498E-2</v>
      </c>
      <c r="AA35" s="22">
        <f t="shared" si="17"/>
        <v>-0.11741855742915158</v>
      </c>
      <c r="AB35" s="22">
        <f t="shared" si="17"/>
        <v>-9.8154446333900164E-2</v>
      </c>
      <c r="AC35" s="22">
        <f t="shared" si="17"/>
        <v>6.3499986135374204E-3</v>
      </c>
      <c r="AD35" s="22">
        <f t="shared" si="17"/>
        <v>-3.9347514603769423E-2</v>
      </c>
      <c r="AE35" s="22">
        <f t="shared" si="17"/>
        <v>-6.4679899036255165E-2</v>
      </c>
      <c r="AF35" s="22">
        <f t="shared" si="17"/>
        <v>-9.2305805145818636E-3</v>
      </c>
      <c r="AG35" s="22">
        <f t="shared" si="17"/>
        <v>-1.9499814287482977E-3</v>
      </c>
      <c r="AH35" s="22">
        <f t="shared" si="17"/>
        <v>-3.3028376492479451E-2</v>
      </c>
      <c r="AI35" s="22">
        <f t="shared" si="17"/>
        <v>-2.8415651058370749E-2</v>
      </c>
      <c r="AJ35" s="22">
        <f t="shared" si="17"/>
        <v>-1.1949560969168813E-2</v>
      </c>
      <c r="AK35" s="22">
        <f t="shared" si="17"/>
        <v>-2.2450888681010289E-2</v>
      </c>
      <c r="AL35" s="22">
        <f t="shared" si="17"/>
        <v>-9.9555707450444286E-2</v>
      </c>
      <c r="AM35" s="22">
        <f t="shared" si="17"/>
        <v>-5.6544957680191292E-2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91</v>
      </c>
      <c r="AD39" s="1" t="s">
        <v>91</v>
      </c>
      <c r="AE39" s="1" t="s">
        <v>91</v>
      </c>
      <c r="AF39" s="1" t="s">
        <v>91</v>
      </c>
      <c r="AG39" s="1" t="s">
        <v>91</v>
      </c>
      <c r="AH39" s="1" t="s">
        <v>91</v>
      </c>
      <c r="AI39" s="1" t="s">
        <v>91</v>
      </c>
      <c r="AJ39" s="1">
        <v>25513000</v>
      </c>
      <c r="AK39" s="1" t="s">
        <v>91</v>
      </c>
      <c r="AL39" s="1" t="s">
        <v>91</v>
      </c>
    </row>
    <row r="40" spans="1:39"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9"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9" ht="19" x14ac:dyDescent="0.25">
      <c r="A42" s="5" t="s">
        <v>34</v>
      </c>
      <c r="B42" s="1">
        <v>200000</v>
      </c>
      <c r="C42" s="1">
        <v>100000</v>
      </c>
      <c r="D42" s="1">
        <v>200000</v>
      </c>
      <c r="E42" s="1">
        <v>100000</v>
      </c>
      <c r="F42" s="1" t="s">
        <v>91</v>
      </c>
      <c r="G42" s="1" t="s">
        <v>91</v>
      </c>
      <c r="H42" s="1">
        <v>5600000</v>
      </c>
      <c r="I42" s="1" t="s">
        <v>91</v>
      </c>
      <c r="J42" s="1" t="s">
        <v>91</v>
      </c>
      <c r="K42" s="1" t="s">
        <v>91</v>
      </c>
      <c r="L42" s="1" t="s">
        <v>91</v>
      </c>
      <c r="M42" s="1" t="s">
        <v>91</v>
      </c>
      <c r="N42" s="1">
        <v>22000000</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9"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9"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9"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9" ht="19" x14ac:dyDescent="0.25">
      <c r="A47" s="5" t="s">
        <v>39</v>
      </c>
      <c r="B47" s="1" t="s">
        <v>91</v>
      </c>
      <c r="C47" s="1" t="s">
        <v>91</v>
      </c>
      <c r="D47" s="1" t="s">
        <v>91</v>
      </c>
      <c r="E47" s="1" t="s">
        <v>91</v>
      </c>
      <c r="F47" s="1" t="s">
        <v>91</v>
      </c>
      <c r="G47" s="1" t="s">
        <v>91</v>
      </c>
      <c r="H47" s="1" t="s">
        <v>91</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9" ht="19" x14ac:dyDescent="0.25">
      <c r="A48" s="5" t="s">
        <v>40</v>
      </c>
      <c r="B48" s="1" t="s">
        <v>91</v>
      </c>
      <c r="C48" s="1" t="s">
        <v>91</v>
      </c>
      <c r="D48" s="1" t="s">
        <v>91</v>
      </c>
      <c r="E48" s="1" t="s">
        <v>91</v>
      </c>
      <c r="F48" s="1" t="s">
        <v>91</v>
      </c>
      <c r="G48" s="1" t="s">
        <v>91</v>
      </c>
      <c r="H48" s="1" t="s">
        <v>91</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91</v>
      </c>
      <c r="C55" s="1" t="s">
        <v>91</v>
      </c>
      <c r="D55" s="1" t="s">
        <v>91</v>
      </c>
      <c r="E55" s="1" t="s">
        <v>91</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5200000</v>
      </c>
      <c r="P56" s="1">
        <v>19109000</v>
      </c>
      <c r="Q56" s="1">
        <v>13800000</v>
      </c>
      <c r="R56" s="1">
        <v>184377000</v>
      </c>
      <c r="S56" s="1" t="s">
        <v>91</v>
      </c>
      <c r="T56" s="1" t="s">
        <v>91</v>
      </c>
      <c r="U56" s="1" t="s">
        <v>91</v>
      </c>
      <c r="V56" s="1">
        <v>400000000</v>
      </c>
      <c r="W56" s="1">
        <v>390963000</v>
      </c>
      <c r="X56" s="1" t="s">
        <v>91</v>
      </c>
      <c r="Y56" s="1" t="s">
        <v>91</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v>11754000</v>
      </c>
      <c r="AC57" s="1">
        <v>6821000</v>
      </c>
      <c r="AD57" s="1" t="s">
        <v>91</v>
      </c>
      <c r="AE57" s="1" t="s">
        <v>91</v>
      </c>
      <c r="AF57" s="1" t="s">
        <v>91</v>
      </c>
      <c r="AG57" s="1" t="s">
        <v>91</v>
      </c>
      <c r="AH57" s="1" t="s">
        <v>91</v>
      </c>
      <c r="AI57" s="1" t="s">
        <v>91</v>
      </c>
      <c r="AJ57" s="1" t="s">
        <v>91</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91</v>
      </c>
      <c r="C61" s="1" t="s">
        <v>91</v>
      </c>
      <c r="D61" s="1" t="s">
        <v>91</v>
      </c>
      <c r="E61" s="1" t="s">
        <v>91</v>
      </c>
      <c r="F61" s="1" t="s">
        <v>91</v>
      </c>
      <c r="G61" s="1" t="s">
        <v>91</v>
      </c>
      <c r="H61" s="1">
        <v>2700000</v>
      </c>
      <c r="I61" s="1">
        <v>2700000</v>
      </c>
      <c r="J61" s="1">
        <v>2300000</v>
      </c>
      <c r="K61" s="1">
        <v>1900000</v>
      </c>
      <c r="L61" s="1">
        <v>1600000</v>
      </c>
      <c r="M61" s="1">
        <v>1200000</v>
      </c>
      <c r="N61" s="1">
        <v>800000</v>
      </c>
      <c r="O61" s="1">
        <v>400000</v>
      </c>
      <c r="P61" s="1" t="s">
        <v>91</v>
      </c>
      <c r="Q61" s="1" t="s">
        <v>91</v>
      </c>
      <c r="R61" s="1">
        <v>139922000</v>
      </c>
      <c r="S61" s="1">
        <v>541364000</v>
      </c>
      <c r="T61" s="1">
        <v>400000000</v>
      </c>
      <c r="U61" s="1">
        <v>400000000</v>
      </c>
      <c r="V61" s="1" t="s">
        <v>91</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700000</v>
      </c>
      <c r="C63" s="1">
        <v>3000000</v>
      </c>
      <c r="D63" s="1">
        <v>2100000</v>
      </c>
      <c r="E63" s="1">
        <v>1400000</v>
      </c>
      <c r="F63" s="1">
        <v>400000</v>
      </c>
      <c r="G63" s="1">
        <v>1000000</v>
      </c>
      <c r="H63" s="1" t="s">
        <v>91</v>
      </c>
      <c r="I63" s="1">
        <v>2700000</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v>100000</v>
      </c>
      <c r="C64" s="1">
        <v>300000</v>
      </c>
      <c r="D64" s="1">
        <v>400000</v>
      </c>
      <c r="E64" s="1">
        <v>400000</v>
      </c>
      <c r="F64" s="1">
        <v>200000</v>
      </c>
      <c r="G64" s="1" t="s">
        <v>91</v>
      </c>
      <c r="H64" s="1">
        <v>1200000</v>
      </c>
      <c r="I64" s="1" t="s">
        <v>91</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t="s">
        <v>91</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91</v>
      </c>
      <c r="C77" s="1" t="s">
        <v>91</v>
      </c>
      <c r="D77" s="1" t="s">
        <v>91</v>
      </c>
      <c r="E77" s="1" t="s">
        <v>91</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91</v>
      </c>
      <c r="C78" s="1" t="s">
        <v>91</v>
      </c>
      <c r="D78" s="1" t="s">
        <v>91</v>
      </c>
      <c r="E78" s="1" t="s">
        <v>91</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3.1605983495445793E-2</v>
      </c>
      <c r="Z80" s="15">
        <f t="shared" si="18"/>
        <v>2.8572938183055036E-2</v>
      </c>
      <c r="AA80" s="15">
        <f t="shared" si="18"/>
        <v>2.5012788796852585E-2</v>
      </c>
      <c r="AB80" s="15">
        <f t="shared" si="18"/>
        <v>3.1384207810792951E-2</v>
      </c>
      <c r="AC80" s="15">
        <f t="shared" si="18"/>
        <v>3.4770608142644231E-2</v>
      </c>
      <c r="AD80" s="15">
        <f t="shared" si="18"/>
        <v>4.6087061224231132E-2</v>
      </c>
      <c r="AE80" s="15">
        <f t="shared" si="18"/>
        <v>5.4016483444427089E-2</v>
      </c>
      <c r="AF80" s="15">
        <f t="shared" si="18"/>
        <v>6.2981360539895337E-2</v>
      </c>
      <c r="AG80" s="15">
        <f t="shared" si="18"/>
        <v>6.5676931972635869E-2</v>
      </c>
      <c r="AH80" s="15">
        <f t="shared" si="18"/>
        <v>7.2460834402770041E-2</v>
      </c>
      <c r="AI80" s="15">
        <f t="shared" si="18"/>
        <v>7.1523330658237391E-2</v>
      </c>
      <c r="AJ80" s="15">
        <f t="shared" si="18"/>
        <v>7.2365016121282724E-2</v>
      </c>
      <c r="AK80" s="15">
        <f t="shared" si="18"/>
        <v>8.5418856757430106E-2</v>
      </c>
      <c r="AL80" s="15">
        <f t="shared" si="18"/>
        <v>8.375627146456395E-2</v>
      </c>
    </row>
    <row r="81" spans="1:46" ht="19" x14ac:dyDescent="0.25">
      <c r="A81" s="5" t="s">
        <v>69</v>
      </c>
      <c r="B81" s="1" t="s">
        <v>91</v>
      </c>
      <c r="C81" s="1" t="s">
        <v>91</v>
      </c>
      <c r="D81" s="1" t="s">
        <v>91</v>
      </c>
      <c r="E81" s="1" t="s">
        <v>91</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19" x14ac:dyDescent="0.25">
      <c r="A83" s="5" t="s">
        <v>34</v>
      </c>
      <c r="B83" s="1" t="s">
        <v>91</v>
      </c>
      <c r="C83" s="1" t="s">
        <v>91</v>
      </c>
      <c r="D83" s="1" t="s">
        <v>91</v>
      </c>
      <c r="E83" s="1" t="s">
        <v>91</v>
      </c>
      <c r="F83" s="1">
        <v>100000</v>
      </c>
      <c r="G83" s="1" t="s">
        <v>91</v>
      </c>
      <c r="H83" s="1" t="s">
        <v>91</v>
      </c>
      <c r="I83" s="1" t="s">
        <v>91</v>
      </c>
      <c r="J83" s="1" t="s">
        <v>91</v>
      </c>
      <c r="K83" s="1" t="s">
        <v>91</v>
      </c>
      <c r="L83" s="1" t="s">
        <v>91</v>
      </c>
      <c r="M83" s="1" t="s">
        <v>91</v>
      </c>
      <c r="N83" s="1">
        <v>-3800000</v>
      </c>
      <c r="O83" s="1">
        <v>-4900000</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M84" s="43"/>
      <c r="AN84" s="43"/>
      <c r="AO84" s="43"/>
      <c r="AP84" s="43"/>
      <c r="AQ84" s="43"/>
      <c r="AR84" s="43"/>
      <c r="AS84" s="74" t="s">
        <v>124</v>
      </c>
      <c r="AT84" s="75"/>
    </row>
    <row r="85" spans="1:46" ht="20" customHeight="1" x14ac:dyDescent="0.25">
      <c r="A85" s="5" t="s">
        <v>71</v>
      </c>
      <c r="B85" s="1" t="s">
        <v>91</v>
      </c>
      <c r="C85" s="1" t="s">
        <v>91</v>
      </c>
      <c r="D85" s="1" t="s">
        <v>91</v>
      </c>
      <c r="E85" s="1" t="s">
        <v>91</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M85" s="43"/>
      <c r="AN85" s="43"/>
      <c r="AO85" s="43"/>
      <c r="AP85" s="43"/>
      <c r="AQ85" s="43"/>
      <c r="AR85" s="43"/>
      <c r="AS85" s="76" t="s">
        <v>125</v>
      </c>
      <c r="AT85" s="76"/>
    </row>
    <row r="86" spans="1:46" ht="20" x14ac:dyDescent="0.25">
      <c r="A86" s="5" t="s">
        <v>72</v>
      </c>
      <c r="B86" s="1" t="s">
        <v>91</v>
      </c>
      <c r="C86" s="1" t="s">
        <v>91</v>
      </c>
      <c r="D86" s="1" t="s">
        <v>91</v>
      </c>
      <c r="E86" s="1" t="s">
        <v>91</v>
      </c>
      <c r="F86" s="1" t="s">
        <v>91</v>
      </c>
      <c r="G86" s="1" t="s">
        <v>91</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M86" s="43"/>
      <c r="AN86" s="43"/>
      <c r="AO86" s="43"/>
      <c r="AP86" s="43"/>
      <c r="AQ86" s="43"/>
      <c r="AR86" s="43"/>
      <c r="AS86" s="35" t="s">
        <v>126</v>
      </c>
      <c r="AT86" s="44">
        <f>AL17</f>
        <v>68967000</v>
      </c>
    </row>
    <row r="87" spans="1:46" ht="20" x14ac:dyDescent="0.25">
      <c r="A87" s="6" t="s">
        <v>73</v>
      </c>
      <c r="B87" s="10" t="s">
        <v>91</v>
      </c>
      <c r="C87" s="10" t="s">
        <v>91</v>
      </c>
      <c r="D87" s="10" t="s">
        <v>91</v>
      </c>
      <c r="E87" s="10" t="s">
        <v>91</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M87" s="43"/>
      <c r="AN87" s="43"/>
      <c r="AO87" s="43"/>
      <c r="AP87" s="43"/>
      <c r="AQ87" s="43"/>
      <c r="AR87" s="43"/>
      <c r="AS87" s="35" t="s">
        <v>127</v>
      </c>
      <c r="AT87" s="44">
        <f>AL56</f>
        <v>49369000</v>
      </c>
    </row>
    <row r="88" spans="1:46" ht="20" x14ac:dyDescent="0.25">
      <c r="A88" s="5" t="s">
        <v>74</v>
      </c>
      <c r="B88" s="1" t="s">
        <v>91</v>
      </c>
      <c r="C88" s="1" t="s">
        <v>91</v>
      </c>
      <c r="D88" s="1" t="s">
        <v>91</v>
      </c>
      <c r="E88" s="1" t="s">
        <v>91</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M88" s="43"/>
      <c r="AN88" s="43"/>
      <c r="AO88" s="43"/>
      <c r="AP88" s="43"/>
      <c r="AQ88" s="43"/>
      <c r="AR88" s="43"/>
      <c r="AS88" s="35" t="s">
        <v>128</v>
      </c>
      <c r="AT88" s="44">
        <f>AL61</f>
        <v>1862861000</v>
      </c>
    </row>
    <row r="89" spans="1:46" ht="20" customHeight="1" x14ac:dyDescent="0.25">
      <c r="A89" s="14" t="s">
        <v>104</v>
      </c>
      <c r="B89" s="15" t="e">
        <f t="shared" ref="B89:AL89" si="19">(-1*B88)/B3</f>
        <v>#VALUE!</v>
      </c>
      <c r="C89" s="15" t="e">
        <f t="shared" si="19"/>
        <v>#VALUE!</v>
      </c>
      <c r="D89" s="15" t="e">
        <f t="shared" si="19"/>
        <v>#VALUE!</v>
      </c>
      <c r="E89" s="15" t="e">
        <f t="shared" si="19"/>
        <v>#VALUE!</v>
      </c>
      <c r="F89" s="15">
        <f t="shared" si="19"/>
        <v>3.9215686274509803E-2</v>
      </c>
      <c r="G89" s="15">
        <f t="shared" si="19"/>
        <v>3.1446540880503145E-2</v>
      </c>
      <c r="H89" s="15">
        <f t="shared" si="19"/>
        <v>0.14553990610328638</v>
      </c>
      <c r="I89" s="15">
        <f t="shared" si="19"/>
        <v>8.5457271364317841E-2</v>
      </c>
      <c r="J89" s="15">
        <f t="shared" si="19"/>
        <v>5.8693244739756366E-2</v>
      </c>
      <c r="K89" s="15">
        <f t="shared" si="19"/>
        <v>9.3942054433713784E-2</v>
      </c>
      <c r="L89" s="15">
        <f t="shared" si="19"/>
        <v>8.8096839273705443E-2</v>
      </c>
      <c r="M89" s="15">
        <f t="shared" si="19"/>
        <v>0.10904522613065326</v>
      </c>
      <c r="N89" s="15">
        <f t="shared" si="19"/>
        <v>6.3951120162932792E-2</v>
      </c>
      <c r="O89" s="15">
        <f t="shared" si="19"/>
        <v>6.6088840736728063E-2</v>
      </c>
      <c r="P89" s="15">
        <f t="shared" si="19"/>
        <v>7.582596439418092E-2</v>
      </c>
      <c r="Q89" s="15">
        <f t="shared" si="19"/>
        <v>7.292767994944524E-2</v>
      </c>
      <c r="R89" s="15">
        <f t="shared" si="19"/>
        <v>5.9594615945242062E-2</v>
      </c>
      <c r="S89" s="15">
        <f t="shared" si="19"/>
        <v>2.9099230090815914E-2</v>
      </c>
      <c r="T89" s="15">
        <f t="shared" si="19"/>
        <v>3.2857268275828869E-2</v>
      </c>
      <c r="U89" s="15">
        <f t="shared" si="19"/>
        <v>2.0551641414299503E-2</v>
      </c>
      <c r="V89" s="15">
        <f t="shared" si="19"/>
        <v>3.8054678839059081E-2</v>
      </c>
      <c r="W89" s="15">
        <f t="shared" si="19"/>
        <v>2.765021234779309E-2</v>
      </c>
      <c r="X89" s="15">
        <f t="shared" si="19"/>
        <v>3.058366740865848E-2</v>
      </c>
      <c r="Y89" s="15">
        <f t="shared" si="19"/>
        <v>2.2129737528439043E-2</v>
      </c>
      <c r="Z89" s="15">
        <f t="shared" si="19"/>
        <v>2.8817306565088675E-2</v>
      </c>
      <c r="AA89" s="15">
        <f t="shared" si="19"/>
        <v>2.2624470898830532E-2</v>
      </c>
      <c r="AB89" s="15">
        <f t="shared" si="19"/>
        <v>3.7673171964879966E-2</v>
      </c>
      <c r="AC89" s="15">
        <f t="shared" si="19"/>
        <v>3.2479917788024386E-2</v>
      </c>
      <c r="AD89" s="15">
        <f t="shared" si="19"/>
        <v>1.5957210846847533E-2</v>
      </c>
      <c r="AE89" s="15">
        <f t="shared" si="19"/>
        <v>2.980396551662472E-2</v>
      </c>
      <c r="AF89" s="15">
        <f t="shared" si="19"/>
        <v>2.4926363467202811E-2</v>
      </c>
      <c r="AG89" s="15">
        <f t="shared" si="19"/>
        <v>2.1270821063562508E-2</v>
      </c>
      <c r="AH89" s="15">
        <f t="shared" si="19"/>
        <v>3.0314535460907045E-2</v>
      </c>
      <c r="AI89" s="15">
        <f t="shared" si="19"/>
        <v>2.0671796759369802E-2</v>
      </c>
      <c r="AJ89" s="15">
        <f t="shared" si="19"/>
        <v>1.6985667739358948E-2</v>
      </c>
      <c r="AK89" s="15">
        <f t="shared" si="19"/>
        <v>5.7491781462869224E-3</v>
      </c>
      <c r="AL89" s="15">
        <f t="shared" si="19"/>
        <v>4.3775004174925755E-3</v>
      </c>
      <c r="AM89" s="43"/>
      <c r="AN89" s="43"/>
      <c r="AO89" s="43"/>
      <c r="AP89" s="43"/>
      <c r="AQ89" s="43"/>
      <c r="AR89" s="43"/>
      <c r="AS89" s="36" t="s">
        <v>129</v>
      </c>
      <c r="AT89" s="45">
        <f>AT86/(AT87+AT88)</f>
        <v>3.6066268179037041E-2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-48620000</v>
      </c>
      <c r="T90" s="1">
        <v>-284731000</v>
      </c>
      <c r="U90" s="1">
        <v>-41312000</v>
      </c>
      <c r="V90" s="1" t="s">
        <v>91</v>
      </c>
      <c r="W90" s="1" t="s">
        <v>91</v>
      </c>
      <c r="X90" s="1">
        <v>-17755000</v>
      </c>
      <c r="Y90" s="1" t="s">
        <v>91</v>
      </c>
      <c r="Z90" s="1" t="s">
        <v>91</v>
      </c>
      <c r="AA90" s="1" t="s">
        <v>91</v>
      </c>
      <c r="AB90" s="1">
        <v>-123779000</v>
      </c>
      <c r="AC90" s="1">
        <v>-32824000</v>
      </c>
      <c r="AD90" s="1">
        <v>-7253000</v>
      </c>
      <c r="AE90" s="1">
        <v>-56917000</v>
      </c>
      <c r="AF90" s="1">
        <v>-5646000</v>
      </c>
      <c r="AG90" s="1">
        <v>-777000</v>
      </c>
      <c r="AH90" s="1" t="s">
        <v>91</v>
      </c>
      <c r="AI90" s="1">
        <v>-15855000</v>
      </c>
      <c r="AJ90" s="1" t="s">
        <v>91</v>
      </c>
      <c r="AK90" s="1">
        <v>147431000</v>
      </c>
      <c r="AL90" s="1" t="s">
        <v>91</v>
      </c>
      <c r="AM90" s="43"/>
      <c r="AN90" s="43"/>
      <c r="AO90" s="43"/>
      <c r="AP90" s="43"/>
      <c r="AQ90" s="43"/>
      <c r="AR90" s="43"/>
      <c r="AS90" s="35" t="s">
        <v>105</v>
      </c>
      <c r="AT90" s="44">
        <f>AL27</f>
        <v>97768000</v>
      </c>
    </row>
    <row r="91" spans="1:46" ht="20" x14ac:dyDescent="0.25">
      <c r="A91" s="5" t="s">
        <v>76</v>
      </c>
      <c r="B91" s="1" t="s">
        <v>91</v>
      </c>
      <c r="C91" s="1" t="s">
        <v>91</v>
      </c>
      <c r="D91" s="1" t="s">
        <v>91</v>
      </c>
      <c r="E91" s="1" t="s">
        <v>91</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91</v>
      </c>
      <c r="AD91" s="1" t="s">
        <v>91</v>
      </c>
      <c r="AE91" s="1" t="s">
        <v>91</v>
      </c>
      <c r="AF91" s="1" t="s">
        <v>91</v>
      </c>
      <c r="AG91" s="1" t="s">
        <v>91</v>
      </c>
      <c r="AH91" s="1">
        <v>-6050000</v>
      </c>
      <c r="AI91" s="1">
        <v>-6404000</v>
      </c>
      <c r="AJ91" s="1">
        <v>-6119000</v>
      </c>
      <c r="AK91" s="1">
        <v>-9249000</v>
      </c>
      <c r="AL91" s="1">
        <v>-9963000</v>
      </c>
      <c r="AM91" s="43"/>
      <c r="AN91" s="43"/>
      <c r="AO91" s="43"/>
      <c r="AP91" s="43"/>
      <c r="AQ91" s="43"/>
      <c r="AR91" s="43"/>
      <c r="AS91" s="35" t="s">
        <v>19</v>
      </c>
      <c r="AT91" s="44">
        <f>AL25</f>
        <v>471309000</v>
      </c>
    </row>
    <row r="92" spans="1:46" ht="20" x14ac:dyDescent="0.25">
      <c r="A92" s="5" t="s">
        <v>77</v>
      </c>
      <c r="B92" s="1" t="s">
        <v>91</v>
      </c>
      <c r="C92" s="1" t="s">
        <v>91</v>
      </c>
      <c r="D92" s="1" t="s">
        <v>91</v>
      </c>
      <c r="E92" s="1" t="s">
        <v>91</v>
      </c>
      <c r="F92" s="1">
        <v>8000000</v>
      </c>
      <c r="G92" s="1" t="s">
        <v>91</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91</v>
      </c>
      <c r="AE92" s="1" t="s">
        <v>91</v>
      </c>
      <c r="AF92" s="1" t="s">
        <v>91</v>
      </c>
      <c r="AG92" s="1" t="s">
        <v>91</v>
      </c>
      <c r="AH92" s="1">
        <v>23230000</v>
      </c>
      <c r="AI92" s="1">
        <v>3480000</v>
      </c>
      <c r="AJ92" s="1">
        <v>3470000</v>
      </c>
      <c r="AK92" s="1">
        <v>7237000</v>
      </c>
      <c r="AL92" s="1">
        <v>8063000</v>
      </c>
      <c r="AM92" s="43"/>
      <c r="AN92" s="43"/>
      <c r="AO92" s="43"/>
      <c r="AP92" s="43"/>
      <c r="AQ92" s="43"/>
      <c r="AR92" s="43"/>
      <c r="AS92" s="36" t="s">
        <v>130</v>
      </c>
      <c r="AT92" s="45">
        <f>AT90/AT91</f>
        <v>0.20743928081152704</v>
      </c>
    </row>
    <row r="93" spans="1:46" ht="19" customHeight="1" x14ac:dyDescent="0.25">
      <c r="A93" s="5" t="s">
        <v>78</v>
      </c>
      <c r="B93" s="1" t="s">
        <v>91</v>
      </c>
      <c r="C93" s="1" t="s">
        <v>91</v>
      </c>
      <c r="D93" s="1" t="s">
        <v>91</v>
      </c>
      <c r="E93" s="1" t="s">
        <v>91</v>
      </c>
      <c r="F93" s="1">
        <v>-500000</v>
      </c>
      <c r="G93" s="1">
        <v>16000000</v>
      </c>
      <c r="H93" s="1">
        <v>-700000</v>
      </c>
      <c r="I93" s="1">
        <v>-3400000</v>
      </c>
      <c r="J93" s="1" t="s">
        <v>91</v>
      </c>
      <c r="K93" s="1">
        <v>-2500000</v>
      </c>
      <c r="L93" s="1">
        <v>-1300000</v>
      </c>
      <c r="M93" s="1">
        <v>300000</v>
      </c>
      <c r="N93" s="1">
        <v>-3300000</v>
      </c>
      <c r="O93" s="1">
        <v>100000</v>
      </c>
      <c r="P93" s="1" t="s">
        <v>91</v>
      </c>
      <c r="Q93" s="1" t="s">
        <v>91</v>
      </c>
      <c r="R93" s="1">
        <v>140499000</v>
      </c>
      <c r="S93" s="1">
        <v>3062000</v>
      </c>
      <c r="T93" s="1">
        <v>2234000</v>
      </c>
      <c r="U93" s="1">
        <v>22822000</v>
      </c>
      <c r="V93" s="1">
        <v>500000</v>
      </c>
      <c r="W93" s="1">
        <v>16324000</v>
      </c>
      <c r="X93" s="1">
        <v>1527000</v>
      </c>
      <c r="Y93" s="1">
        <v>5300000</v>
      </c>
      <c r="Z93" s="1">
        <v>2232000</v>
      </c>
      <c r="AA93" s="1">
        <v>140000</v>
      </c>
      <c r="AB93" s="1" t="s">
        <v>91</v>
      </c>
      <c r="AC93" s="1" t="s">
        <v>91</v>
      </c>
      <c r="AD93" s="1" t="s">
        <v>91</v>
      </c>
      <c r="AE93" s="1" t="s">
        <v>91</v>
      </c>
      <c r="AF93" s="1" t="s">
        <v>91</v>
      </c>
      <c r="AG93" s="1" t="s">
        <v>91</v>
      </c>
      <c r="AH93" s="1" t="s">
        <v>91</v>
      </c>
      <c r="AI93" s="1" t="s">
        <v>91</v>
      </c>
      <c r="AJ93" s="1">
        <v>55000</v>
      </c>
      <c r="AK93" s="1" t="s">
        <v>91</v>
      </c>
      <c r="AL93" s="1">
        <v>2258000</v>
      </c>
      <c r="AM93" s="43"/>
      <c r="AN93" s="43"/>
      <c r="AO93" s="43"/>
      <c r="AP93" s="43"/>
      <c r="AQ93" s="43"/>
      <c r="AR93" s="43"/>
      <c r="AS93" s="36" t="s">
        <v>131</v>
      </c>
      <c r="AT93" s="45">
        <f>AT89*(1-AT92)</f>
        <v>2.8584707446421932E-2</v>
      </c>
    </row>
    <row r="94" spans="1:46" ht="21" customHeight="1" x14ac:dyDescent="0.25">
      <c r="A94" s="6" t="s">
        <v>79</v>
      </c>
      <c r="B94" s="10" t="s">
        <v>91</v>
      </c>
      <c r="C94" s="10" t="s">
        <v>91</v>
      </c>
      <c r="D94" s="10" t="s">
        <v>91</v>
      </c>
      <c r="E94" s="10" t="s">
        <v>91</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M94" s="43"/>
      <c r="AN94" s="43"/>
      <c r="AO94" s="43"/>
      <c r="AP94" s="43"/>
      <c r="AQ94" s="43"/>
      <c r="AR94" s="43"/>
      <c r="AS94" s="76" t="s">
        <v>132</v>
      </c>
      <c r="AT94" s="76"/>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M95" s="43"/>
      <c r="AN95" s="43"/>
      <c r="AO95" s="43"/>
      <c r="AP95" s="43"/>
      <c r="AQ95" s="43"/>
      <c r="AR95" s="43"/>
      <c r="AS95" s="35" t="s">
        <v>133</v>
      </c>
      <c r="AT95" s="68">
        <f>'[1]US Treasury Bonds'!$C$8</f>
        <v>4.8750000000000002E-2</v>
      </c>
    </row>
    <row r="96" spans="1:46" ht="20" x14ac:dyDescent="0.25">
      <c r="A96" s="5" t="s">
        <v>81</v>
      </c>
      <c r="B96" s="1" t="s">
        <v>91</v>
      </c>
      <c r="C96" s="1" t="s">
        <v>91</v>
      </c>
      <c r="D96" s="1" t="s">
        <v>91</v>
      </c>
      <c r="E96" s="1" t="s">
        <v>91</v>
      </c>
      <c r="F96" s="1" t="s">
        <v>91</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91</v>
      </c>
      <c r="AL96" s="1" t="s">
        <v>91</v>
      </c>
      <c r="AM96" s="43"/>
      <c r="AN96" s="43"/>
      <c r="AO96" s="43"/>
      <c r="AP96" s="43"/>
      <c r="AQ96" s="43"/>
      <c r="AR96" s="43"/>
      <c r="AS96" s="37" t="s">
        <v>134</v>
      </c>
      <c r="AT96" s="46" cm="1">
        <f t="array" ref="AT96">_FV(A1,"Beta")</f>
        <v>1.1752</v>
      </c>
    </row>
    <row r="97" spans="1:46" ht="20" x14ac:dyDescent="0.25">
      <c r="A97" s="5" t="s">
        <v>82</v>
      </c>
      <c r="B97" s="1" t="s">
        <v>91</v>
      </c>
      <c r="C97" s="1" t="s">
        <v>91</v>
      </c>
      <c r="D97" s="1" t="s">
        <v>91</v>
      </c>
      <c r="E97" s="1" t="s">
        <v>91</v>
      </c>
      <c r="F97" s="1" t="s">
        <v>91</v>
      </c>
      <c r="G97" s="1" t="s">
        <v>91</v>
      </c>
      <c r="H97" s="1" t="s">
        <v>91</v>
      </c>
      <c r="I97" s="1" t="s">
        <v>91</v>
      </c>
      <c r="J97" s="1" t="s">
        <v>91</v>
      </c>
      <c r="K97" s="1">
        <v>-100000</v>
      </c>
      <c r="L97" s="1" t="s">
        <v>91</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M97" s="43"/>
      <c r="AN97" s="43"/>
      <c r="AO97" s="43"/>
      <c r="AP97" s="43"/>
      <c r="AQ97" s="43"/>
      <c r="AR97" s="43"/>
      <c r="AS97" s="35" t="s">
        <v>135</v>
      </c>
      <c r="AT97" s="47">
        <v>8.4000000000000005E-2</v>
      </c>
    </row>
    <row r="98" spans="1:46" ht="19" customHeight="1" x14ac:dyDescent="0.25">
      <c r="A98" s="5" t="s">
        <v>83</v>
      </c>
      <c r="B98" s="1" t="s">
        <v>91</v>
      </c>
      <c r="C98" s="1" t="s">
        <v>91</v>
      </c>
      <c r="D98" s="1" t="s">
        <v>91</v>
      </c>
      <c r="E98" s="1" t="s">
        <v>91</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91</v>
      </c>
      <c r="AI98" s="1" t="s">
        <v>91</v>
      </c>
      <c r="AJ98" s="1" t="s">
        <v>91</v>
      </c>
      <c r="AK98" s="1" t="s">
        <v>91</v>
      </c>
      <c r="AL98" s="1">
        <v>0</v>
      </c>
      <c r="AM98" s="43"/>
      <c r="AN98" s="43"/>
      <c r="AO98" s="43"/>
      <c r="AP98" s="43"/>
      <c r="AQ98" s="43"/>
      <c r="AR98" s="43"/>
      <c r="AS98" s="36" t="s">
        <v>136</v>
      </c>
      <c r="AT98" s="45">
        <f>(AT95)+((AT96)*(AT97-AT95))</f>
        <v>9.01758E-2</v>
      </c>
    </row>
    <row r="99" spans="1:46" ht="19" customHeight="1" x14ac:dyDescent="0.25">
      <c r="A99" s="5" t="s">
        <v>84</v>
      </c>
      <c r="B99" s="1" t="s">
        <v>91</v>
      </c>
      <c r="C99" s="1" t="s">
        <v>91</v>
      </c>
      <c r="D99" s="1" t="s">
        <v>91</v>
      </c>
      <c r="E99" s="1" t="s">
        <v>91</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91</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M99" s="43"/>
      <c r="AN99" s="43"/>
      <c r="AO99" s="43"/>
      <c r="AP99" s="43"/>
      <c r="AQ99" s="43"/>
      <c r="AR99" s="43"/>
      <c r="AS99" s="76" t="s">
        <v>137</v>
      </c>
      <c r="AT99" s="76"/>
    </row>
    <row r="100" spans="1:46" ht="20" x14ac:dyDescent="0.25">
      <c r="A100" s="6" t="s">
        <v>85</v>
      </c>
      <c r="B100" s="10" t="s">
        <v>91</v>
      </c>
      <c r="C100" s="10" t="s">
        <v>91</v>
      </c>
      <c r="D100" s="10" t="s">
        <v>91</v>
      </c>
      <c r="E100" s="10" t="s">
        <v>91</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M100" s="43"/>
      <c r="AN100" s="43"/>
      <c r="AO100" s="43"/>
      <c r="AP100" s="43"/>
      <c r="AQ100" s="43"/>
      <c r="AR100" s="43"/>
      <c r="AS100" s="35" t="s">
        <v>138</v>
      </c>
      <c r="AT100" s="44">
        <f>AT87+AT88</f>
        <v>1912230000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M101" s="43"/>
      <c r="AN101" s="43"/>
      <c r="AO101" s="43"/>
      <c r="AP101" s="43"/>
      <c r="AQ101" s="43"/>
      <c r="AR101" s="43"/>
      <c r="AS101" s="36" t="s">
        <v>139</v>
      </c>
      <c r="AT101" s="45">
        <f>AT100/AT104</f>
        <v>7.8689773769459584E-2</v>
      </c>
    </row>
    <row r="102" spans="1:46" ht="20" x14ac:dyDescent="0.25">
      <c r="A102" s="6" t="s">
        <v>87</v>
      </c>
      <c r="B102" s="10" t="s">
        <v>91</v>
      </c>
      <c r="C102" s="10" t="s">
        <v>91</v>
      </c>
      <c r="D102" s="10" t="s">
        <v>91</v>
      </c>
      <c r="E102" s="10" t="s">
        <v>91</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M102" s="43"/>
      <c r="AN102" s="43"/>
      <c r="AO102" s="43"/>
      <c r="AP102" s="43"/>
      <c r="AQ102" s="43"/>
      <c r="AR102" s="43"/>
      <c r="AS102" s="37" t="s">
        <v>140</v>
      </c>
      <c r="AT102" s="48" cm="1">
        <f t="array" ref="AT102">_FV(A1,"Market cap",TRUE)</f>
        <v>22388640474</v>
      </c>
    </row>
    <row r="103" spans="1:46" ht="20" x14ac:dyDescent="0.25">
      <c r="A103" s="5" t="s">
        <v>88</v>
      </c>
      <c r="B103" s="1" t="s">
        <v>91</v>
      </c>
      <c r="C103" s="1" t="s">
        <v>91</v>
      </c>
      <c r="D103" s="1" t="s">
        <v>91</v>
      </c>
      <c r="E103" s="1" t="s">
        <v>91</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M103" s="43"/>
      <c r="AN103" s="43"/>
      <c r="AO103" s="43"/>
      <c r="AP103" s="43"/>
      <c r="AQ103" s="43"/>
      <c r="AR103" s="43"/>
      <c r="AS103" s="36" t="s">
        <v>141</v>
      </c>
      <c r="AT103" s="45">
        <f>AT102/AT104</f>
        <v>0.92131022623054037</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v>8300000</v>
      </c>
      <c r="L104" s="11" t="s">
        <v>91</v>
      </c>
      <c r="M104" s="11" t="s">
        <v>91</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M104" s="78" t="s">
        <v>114</v>
      </c>
      <c r="AN104" s="78"/>
      <c r="AO104" s="78"/>
      <c r="AP104" s="78"/>
      <c r="AQ104" s="78"/>
      <c r="AR104" s="43"/>
      <c r="AS104" s="36" t="s">
        <v>142</v>
      </c>
      <c r="AT104" s="49">
        <f>AT100+AT102</f>
        <v>24300870474</v>
      </c>
    </row>
    <row r="105" spans="1:46" ht="21" customHeight="1" thickTop="1" x14ac:dyDescent="0.25">
      <c r="A105" s="14" t="s">
        <v>160</v>
      </c>
      <c r="B105" s="1" t="e">
        <f t="shared" ref="B105:AL105" si="20">((B22*(1-$AT$92))+B77+B88+B81)</f>
        <v>#VALUE!</v>
      </c>
      <c r="C105" s="1" t="e">
        <f t="shared" si="20"/>
        <v>#VALUE!</v>
      </c>
      <c r="D105" s="1" t="e">
        <f t="shared" si="20"/>
        <v>#VALUE!</v>
      </c>
      <c r="E105" s="1" t="e">
        <f t="shared" si="20"/>
        <v>#VALUE!</v>
      </c>
      <c r="F105" s="1">
        <f t="shared" si="20"/>
        <v>2692560.7191884732</v>
      </c>
      <c r="G105" s="1">
        <f t="shared" si="20"/>
        <v>3556938.2294842661</v>
      </c>
      <c r="H105" s="1">
        <f t="shared" si="20"/>
        <v>-561659.97254455183</v>
      </c>
      <c r="I105" s="1">
        <f t="shared" si="20"/>
        <v>1598997.8973454777</v>
      </c>
      <c r="J105" s="1">
        <f t="shared" si="20"/>
        <v>15322459.363177873</v>
      </c>
      <c r="K105" s="1">
        <f t="shared" si="20"/>
        <v>7471958.3118506111</v>
      </c>
      <c r="L105" s="1">
        <f t="shared" si="20"/>
        <v>11491700.137277242</v>
      </c>
      <c r="M105" s="1">
        <f t="shared" si="20"/>
        <v>13779539.113405429</v>
      </c>
      <c r="N105" s="1">
        <f t="shared" si="20"/>
        <v>36619453.055214301</v>
      </c>
      <c r="O105" s="1">
        <f t="shared" si="20"/>
        <v>30874817.370345145</v>
      </c>
      <c r="P105" s="1">
        <f t="shared" si="20"/>
        <v>20633958.908062436</v>
      </c>
      <c r="Q105" s="1">
        <f t="shared" si="20"/>
        <v>44417175.778523207</v>
      </c>
      <c r="R105" s="1">
        <f t="shared" si="20"/>
        <v>38403120.602407336</v>
      </c>
      <c r="S105" s="1">
        <f t="shared" si="20"/>
        <v>155377321.91831684</v>
      </c>
      <c r="T105" s="1">
        <f t="shared" si="20"/>
        <v>183687726.31755388</v>
      </c>
      <c r="U105" s="1">
        <f t="shared" si="20"/>
        <v>185920936.97128636</v>
      </c>
      <c r="V105" s="1">
        <f t="shared" si="20"/>
        <v>136232250.71662116</v>
      </c>
      <c r="W105" s="1">
        <f t="shared" si="20"/>
        <v>121206660.22078931</v>
      </c>
      <c r="X105" s="1">
        <f t="shared" si="20"/>
        <v>138077702.42452404</v>
      </c>
      <c r="Y105" s="1">
        <f t="shared" si="20"/>
        <v>155359086.28309667</v>
      </c>
      <c r="Z105" s="1">
        <f t="shared" si="20"/>
        <v>92764964.959294215</v>
      </c>
      <c r="AA105" s="1">
        <f t="shared" si="20"/>
        <v>138867304.29930258</v>
      </c>
      <c r="AB105" s="1">
        <f t="shared" si="20"/>
        <v>133422937.56113291</v>
      </c>
      <c r="AC105" s="1">
        <f t="shared" si="20"/>
        <v>123218264.29582292</v>
      </c>
      <c r="AD105" s="1">
        <f t="shared" si="20"/>
        <v>174817218.49359974</v>
      </c>
      <c r="AE105" s="1">
        <f t="shared" si="20"/>
        <v>90138061.692010969</v>
      </c>
      <c r="AF105" s="1">
        <f t="shared" si="20"/>
        <v>157559957.48861149</v>
      </c>
      <c r="AG105" s="1">
        <f t="shared" si="20"/>
        <v>161174759.44019741</v>
      </c>
      <c r="AH105" s="1">
        <f t="shared" si="20"/>
        <v>123003857.18711078</v>
      </c>
      <c r="AI105" s="1">
        <f t="shared" si="20"/>
        <v>153117185.22879893</v>
      </c>
      <c r="AJ105" s="1">
        <f t="shared" si="20"/>
        <v>201643403.49749315</v>
      </c>
      <c r="AK105" s="1">
        <f t="shared" si="20"/>
        <v>405913725.38186198</v>
      </c>
      <c r="AL105" s="1">
        <f t="shared" si="20"/>
        <v>408421029.93789637</v>
      </c>
      <c r="AM105" s="69">
        <f>AM107/AM3</f>
        <v>0.437542201215395</v>
      </c>
      <c r="AN105" s="69">
        <f>AN107/AN3</f>
        <v>0.45348120764017252</v>
      </c>
      <c r="AO105" s="69">
        <f>AO107/AO3</f>
        <v>0.50376193149915782</v>
      </c>
      <c r="AP105" s="69">
        <f>AP107/AP3</f>
        <v>0.51621204323211534</v>
      </c>
      <c r="AQ105" s="69">
        <f>AQ107/AQ3</f>
        <v>0.53563001415762157</v>
      </c>
      <c r="AR105" s="72" t="s">
        <v>165</v>
      </c>
      <c r="AS105" s="76" t="s">
        <v>143</v>
      </c>
      <c r="AT105" s="76"/>
    </row>
    <row r="106" spans="1:46" ht="20" x14ac:dyDescent="0.25">
      <c r="A106" s="14" t="s">
        <v>161</v>
      </c>
      <c r="B106" s="1"/>
      <c r="C106" s="15" t="e">
        <f t="shared" ref="C106:AL106" si="21">(C107/B107)-1</f>
        <v>#VALUE!</v>
      </c>
      <c r="D106" s="15" t="e">
        <f t="shared" si="21"/>
        <v>#VALUE!</v>
      </c>
      <c r="E106" s="15" t="e">
        <f t="shared" si="21"/>
        <v>#VALUE!</v>
      </c>
      <c r="F106" s="15" t="e">
        <f t="shared" si="21"/>
        <v>#VALUE!</v>
      </c>
      <c r="G106" s="15">
        <f t="shared" si="21"/>
        <v>0.12000000000000011</v>
      </c>
      <c r="H106" s="15">
        <f t="shared" si="21"/>
        <v>-1.6071428571428572</v>
      </c>
      <c r="I106" s="15" t="e">
        <f t="shared" si="21"/>
        <v>#VALUE!</v>
      </c>
      <c r="J106" s="15" t="e">
        <f t="shared" si="21"/>
        <v>#VALUE!</v>
      </c>
      <c r="K106" s="15">
        <f t="shared" si="21"/>
        <v>-0.79032258064516125</v>
      </c>
      <c r="L106" s="15">
        <f t="shared" si="21"/>
        <v>1.5384615384615383</v>
      </c>
      <c r="M106" s="15">
        <f t="shared" si="21"/>
        <v>-0.33333333333333337</v>
      </c>
      <c r="N106" s="15">
        <f t="shared" si="21"/>
        <v>4.8181818181818183</v>
      </c>
      <c r="O106" s="15">
        <f t="shared" si="21"/>
        <v>-5.46875E-2</v>
      </c>
      <c r="P106" s="15">
        <f t="shared" si="21"/>
        <v>-0.4191322314049587</v>
      </c>
      <c r="Q106" s="15">
        <f t="shared" si="21"/>
        <v>2.3104503094543642</v>
      </c>
      <c r="R106" s="15">
        <f t="shared" si="21"/>
        <v>0.7134200064467604</v>
      </c>
      <c r="S106" s="15">
        <f t="shared" si="21"/>
        <v>0.95979130609275831</v>
      </c>
      <c r="T106" s="15">
        <f t="shared" si="21"/>
        <v>0.12596152615479128</v>
      </c>
      <c r="U106" s="15">
        <f t="shared" si="21"/>
        <v>0.12346471908835155</v>
      </c>
      <c r="V106" s="15">
        <f t="shared" si="21"/>
        <v>-0.15194669850456322</v>
      </c>
      <c r="W106" s="15">
        <f t="shared" si="21"/>
        <v>-6.6842447489456114E-2</v>
      </c>
      <c r="X106" s="15">
        <f t="shared" si="21"/>
        <v>-0.12822512593653312</v>
      </c>
      <c r="Y106" s="15">
        <f t="shared" si="21"/>
        <v>9.5695534208404265E-3</v>
      </c>
      <c r="Z106" s="15">
        <f t="shared" si="21"/>
        <v>-0.35843835118939527</v>
      </c>
      <c r="AA106" s="15">
        <f t="shared" si="21"/>
        <v>0.38277084017344642</v>
      </c>
      <c r="AB106" s="15">
        <f t="shared" si="21"/>
        <v>-0.14633687037400933</v>
      </c>
      <c r="AC106" s="15">
        <f t="shared" si="21"/>
        <v>7.3947613247268951E-2</v>
      </c>
      <c r="AD106" s="15">
        <f t="shared" si="21"/>
        <v>0.4507425897314532</v>
      </c>
      <c r="AE106" s="15">
        <f t="shared" si="21"/>
        <v>-0.33529093102853902</v>
      </c>
      <c r="AF106" s="15">
        <f t="shared" si="21"/>
        <v>0.51199318379669934</v>
      </c>
      <c r="AG106" s="15">
        <f t="shared" si="21"/>
        <v>0.26064852813269468</v>
      </c>
      <c r="AH106" s="15">
        <f t="shared" si="21"/>
        <v>-6.8328021145100504E-2</v>
      </c>
      <c r="AI106" s="15">
        <f t="shared" si="21"/>
        <v>0.23267432582541092</v>
      </c>
      <c r="AJ106" s="15">
        <f t="shared" si="21"/>
        <v>0.45081207772592857</v>
      </c>
      <c r="AK106" s="15">
        <f t="shared" si="21"/>
        <v>0.21380935301099058</v>
      </c>
      <c r="AL106" s="15">
        <f t="shared" si="21"/>
        <v>0.2094256308739022</v>
      </c>
      <c r="AM106" s="51">
        <f>(AM107/AL107)-1</f>
        <v>0.2871930253207553</v>
      </c>
      <c r="AN106" s="51">
        <f>(AN107/AM107)-1</f>
        <v>0.13580246913580241</v>
      </c>
      <c r="AO106" s="51">
        <f>(AO107/AN107)-1</f>
        <v>0.21902173913043477</v>
      </c>
      <c r="AP106" s="51">
        <f>(AP107/AO107)-1</f>
        <v>0.11792242532322783</v>
      </c>
      <c r="AQ106" s="51">
        <f>(AQ107/AP107)-1</f>
        <v>0.13160518444665992</v>
      </c>
      <c r="AR106" s="52">
        <f>SUM(AM106:AQ106)/5</f>
        <v>0.17830896867137605</v>
      </c>
      <c r="AS106" s="38" t="s">
        <v>106</v>
      </c>
      <c r="AT106" s="53">
        <f>(AT101*AT93)+(AT103*AT98)</f>
        <v>8.5329210860745103E-2</v>
      </c>
    </row>
    <row r="107" spans="1:46" ht="19" x14ac:dyDescent="0.25">
      <c r="A107" s="34" t="s">
        <v>162</v>
      </c>
      <c r="B107" s="1" t="s">
        <v>91</v>
      </c>
      <c r="C107" s="1" t="s">
        <v>91</v>
      </c>
      <c r="D107" s="1" t="s">
        <v>91</v>
      </c>
      <c r="E107" s="1" t="s">
        <v>91</v>
      </c>
      <c r="F107" s="1">
        <v>2500000</v>
      </c>
      <c r="G107" s="1">
        <v>2800000</v>
      </c>
      <c r="H107" s="1">
        <v>-1700000</v>
      </c>
      <c r="I107" s="1" t="s">
        <v>91</v>
      </c>
      <c r="J107" s="1">
        <v>12400000</v>
      </c>
      <c r="K107" s="1">
        <v>2600000</v>
      </c>
      <c r="L107" s="1">
        <v>6600000</v>
      </c>
      <c r="M107" s="1">
        <v>4400000</v>
      </c>
      <c r="N107" s="1">
        <v>25600000</v>
      </c>
      <c r="O107" s="1">
        <v>24200000</v>
      </c>
      <c r="P107" s="1">
        <v>14057000</v>
      </c>
      <c r="Q107" s="1">
        <v>46535000</v>
      </c>
      <c r="R107" s="1">
        <v>79734000</v>
      </c>
      <c r="S107" s="1">
        <v>156262000</v>
      </c>
      <c r="T107" s="1">
        <v>175945000</v>
      </c>
      <c r="U107" s="1">
        <v>197668000</v>
      </c>
      <c r="V107" s="1">
        <v>167633000</v>
      </c>
      <c r="W107" s="1">
        <v>156428000</v>
      </c>
      <c r="X107" s="1">
        <v>136370000</v>
      </c>
      <c r="Y107" s="1">
        <v>137675000</v>
      </c>
      <c r="Z107" s="1">
        <v>88327000</v>
      </c>
      <c r="AA107" s="1">
        <v>122136000</v>
      </c>
      <c r="AB107" s="1">
        <v>104263000</v>
      </c>
      <c r="AC107" s="1">
        <v>111973000</v>
      </c>
      <c r="AD107" s="1">
        <v>162444000</v>
      </c>
      <c r="AE107" s="1">
        <v>107978000</v>
      </c>
      <c r="AF107" s="1">
        <v>163262000</v>
      </c>
      <c r="AG107" s="1">
        <v>205816000</v>
      </c>
      <c r="AH107" s="1">
        <v>191753000</v>
      </c>
      <c r="AI107" s="1">
        <v>236369000</v>
      </c>
      <c r="AJ107" s="1">
        <v>342927000</v>
      </c>
      <c r="AK107" s="1">
        <v>416248000</v>
      </c>
      <c r="AL107" s="1">
        <v>503421000</v>
      </c>
      <c r="AM107" s="54">
        <v>648000000</v>
      </c>
      <c r="AN107" s="54">
        <v>736000000</v>
      </c>
      <c r="AO107" s="54">
        <v>897200000</v>
      </c>
      <c r="AP107" s="54">
        <v>1003000000</v>
      </c>
      <c r="AQ107" s="54">
        <v>1135000000</v>
      </c>
      <c r="AR107" s="50" t="s">
        <v>163</v>
      </c>
      <c r="AS107" s="55" t="s">
        <v>144</v>
      </c>
      <c r="AT107" s="39">
        <f>(SUM(AM4:AQ4)/5)</f>
        <v>9.0017823408855516E-2</v>
      </c>
    </row>
    <row r="108" spans="1:46" ht="19" x14ac:dyDescent="0.2">
      <c r="AM108" s="70"/>
      <c r="AN108" s="70"/>
      <c r="AO108" s="70"/>
      <c r="AP108" s="70"/>
      <c r="AQ108" s="56">
        <f>AQ107*(1+AT108)/(AT109-AT108)</f>
        <v>19283776190.697411</v>
      </c>
      <c r="AR108" s="57" t="s">
        <v>145</v>
      </c>
      <c r="AS108" s="58" t="s">
        <v>146</v>
      </c>
      <c r="AT108" s="40">
        <v>2.5000000000000001E-2</v>
      </c>
    </row>
    <row r="109" spans="1:46" ht="19" x14ac:dyDescent="0.2">
      <c r="AM109" s="56">
        <f t="shared" ref="AM109:AP109" si="22">AM108+AM107</f>
        <v>648000000</v>
      </c>
      <c r="AN109" s="56">
        <f t="shared" si="22"/>
        <v>736000000</v>
      </c>
      <c r="AO109" s="56">
        <f t="shared" si="22"/>
        <v>897200000</v>
      </c>
      <c r="AP109" s="56">
        <f t="shared" si="22"/>
        <v>1003000000</v>
      </c>
      <c r="AQ109" s="56">
        <f>AQ108+AQ107</f>
        <v>20418776190.697411</v>
      </c>
      <c r="AR109" s="57" t="s">
        <v>142</v>
      </c>
      <c r="AS109" s="59" t="s">
        <v>147</v>
      </c>
      <c r="AT109" s="39">
        <f>AT106</f>
        <v>8.5329210860745103E-2</v>
      </c>
    </row>
    <row r="110" spans="1:46" ht="19" x14ac:dyDescent="0.2">
      <c r="AM110" s="77" t="s">
        <v>148</v>
      </c>
      <c r="AN110" s="77"/>
      <c r="AO110" s="43"/>
      <c r="AP110" s="43"/>
      <c r="AQ110" s="43"/>
      <c r="AR110" s="43"/>
      <c r="AS110" s="43"/>
      <c r="AT110" s="43"/>
    </row>
    <row r="111" spans="1:46" ht="20" x14ac:dyDescent="0.2">
      <c r="AM111" s="60" t="s">
        <v>149</v>
      </c>
      <c r="AN111" s="48">
        <f>NPV(AT109,AM109,AN109,AO109,AP109,AQ109)</f>
        <v>16205352217.058878</v>
      </c>
      <c r="AO111" s="43"/>
      <c r="AP111" s="43"/>
      <c r="AQ111" s="43"/>
      <c r="AR111" s="43"/>
      <c r="AS111" s="43"/>
      <c r="AT111" s="43"/>
    </row>
    <row r="112" spans="1:46" ht="20" x14ac:dyDescent="0.2">
      <c r="AM112" s="60" t="s">
        <v>150</v>
      </c>
      <c r="AN112" s="48">
        <f>AL40</f>
        <v>133202000</v>
      </c>
      <c r="AO112" s="43"/>
      <c r="AP112" s="43"/>
      <c r="AQ112" s="43"/>
      <c r="AR112" s="43"/>
      <c r="AS112" s="43"/>
      <c r="AT112" s="43"/>
    </row>
    <row r="113" spans="39:46" ht="20" x14ac:dyDescent="0.2">
      <c r="AM113" s="60" t="s">
        <v>138</v>
      </c>
      <c r="AN113" s="48">
        <f>AT100</f>
        <v>1912230000</v>
      </c>
      <c r="AO113" s="43"/>
      <c r="AP113" s="43"/>
      <c r="AQ113" s="43"/>
      <c r="AR113" s="43"/>
      <c r="AS113" s="43"/>
      <c r="AT113" s="43"/>
    </row>
    <row r="114" spans="39:46" ht="20" x14ac:dyDescent="0.2">
      <c r="AM114" s="60" t="s">
        <v>151</v>
      </c>
      <c r="AN114" s="48">
        <f>AN111+AN112-AN113</f>
        <v>14426324217.058878</v>
      </c>
      <c r="AO114" s="43"/>
      <c r="AP114" s="43"/>
      <c r="AQ114" s="43"/>
      <c r="AR114" s="43"/>
      <c r="AS114" s="43"/>
      <c r="AT114" s="43"/>
    </row>
    <row r="115" spans="39:46" ht="20" x14ac:dyDescent="0.2">
      <c r="AM115" s="60" t="s">
        <v>152</v>
      </c>
      <c r="AN115" s="60">
        <f>AL34*(1+(5*AR16))</f>
        <v>21198791.334987625</v>
      </c>
      <c r="AO115" s="43"/>
      <c r="AP115" s="43"/>
      <c r="AQ115" s="43"/>
      <c r="AR115" s="43"/>
      <c r="AS115" s="43"/>
      <c r="AT115" s="43"/>
    </row>
    <row r="116" spans="39:46" ht="20" x14ac:dyDescent="0.2">
      <c r="AM116" s="61" t="s">
        <v>153</v>
      </c>
      <c r="AN116" s="62">
        <f>AN114/AN115</f>
        <v>680.52578984769275</v>
      </c>
      <c r="AO116" s="43"/>
      <c r="AP116" s="43"/>
      <c r="AQ116" s="43"/>
      <c r="AR116" s="43"/>
      <c r="AS116" s="43"/>
      <c r="AT116" s="43"/>
    </row>
    <row r="117" spans="39:46" ht="20" x14ac:dyDescent="0.2">
      <c r="AM117" s="60" t="s">
        <v>154</v>
      </c>
      <c r="AN117" s="63" cm="1">
        <f t="array" ref="AN117">_FV(A1,"Price")</f>
        <v>900.69</v>
      </c>
      <c r="AO117" s="43"/>
      <c r="AP117" s="43"/>
      <c r="AQ117" s="43"/>
      <c r="AR117" s="43"/>
      <c r="AS117" s="43"/>
      <c r="AT117" s="43"/>
    </row>
    <row r="118" spans="39:46" ht="20" x14ac:dyDescent="0.2">
      <c r="AM118" s="61" t="s">
        <v>155</v>
      </c>
      <c r="AN118" s="64">
        <f>AN116/AN117-1</f>
        <v>-0.24443949655520469</v>
      </c>
      <c r="AO118" s="43"/>
      <c r="AP118" s="43"/>
      <c r="AQ118" s="43"/>
      <c r="AR118" s="43"/>
      <c r="AS118" s="43"/>
      <c r="AT118" s="43"/>
    </row>
    <row r="119" spans="39:46" ht="20" x14ac:dyDescent="0.2">
      <c r="AM119" s="61" t="s">
        <v>156</v>
      </c>
      <c r="AN119" s="65" t="str">
        <f>IF(AN116&gt;AN117,"BUY","SELL")</f>
        <v>SELL</v>
      </c>
      <c r="AO119" s="43"/>
      <c r="AP119" s="43"/>
      <c r="AQ119" s="43"/>
      <c r="AR119" s="43"/>
      <c r="AS119" s="43"/>
      <c r="AT119" s="43"/>
    </row>
  </sheetData>
  <mergeCells count="7">
    <mergeCell ref="AS84:AT84"/>
    <mergeCell ref="AS85:AT85"/>
    <mergeCell ref="AM110:AN110"/>
    <mergeCell ref="AM104:AQ104"/>
    <mergeCell ref="AS105:AT105"/>
    <mergeCell ref="AS99:AT99"/>
    <mergeCell ref="AS94:AT9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 ref="AR107" r:id="rId77" xr:uid="{EB138A9C-F9C7-624C-9B0D-A9990F8D9DA2}"/>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2023-03-13T05:11:11Z</dcterms:created>
  <dcterms:modified xsi:type="dcterms:W3CDTF">2023-11-03T09:36:48Z</dcterms:modified>
</cp:coreProperties>
</file>