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2BE5D2BF-21E0-D343-8773-D907181766CA}"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5" i="1" l="1"/>
  <c r="AQ105" i="1"/>
  <c r="AP105" i="1"/>
  <c r="AO105" i="1"/>
  <c r="AN105" i="1"/>
  <c r="AV7" i="1"/>
  <c r="AU7" i="1"/>
  <c r="AT7" i="1"/>
  <c r="AT22" i="1"/>
  <c r="AV101" i="1" a="1"/>
  <c r="AV101" i="1" s="1"/>
  <c r="AU102" i="1" a="1"/>
  <c r="AU102" i="1" s="1"/>
  <c r="AV22" i="1" s="1"/>
  <c r="AO115" i="1" a="1"/>
  <c r="AO115" i="1" s="1"/>
  <c r="AV100" i="1" a="1"/>
  <c r="AV100" i="1" s="1"/>
  <c r="AR106" i="1"/>
  <c r="AQ106" i="1"/>
  <c r="AP106" i="1"/>
  <c r="AO106" i="1"/>
  <c r="AO117" i="1" a="1"/>
  <c r="AO117" i="1" s="1"/>
  <c r="AN109" i="1"/>
  <c r="AO109" i="1"/>
  <c r="AP109" i="1"/>
  <c r="AQ109" i="1"/>
  <c r="AO30" i="1"/>
  <c r="AP30" i="1"/>
  <c r="AQ30" i="1"/>
  <c r="AR30" i="1"/>
  <c r="AN30" i="1"/>
  <c r="AN29" i="1"/>
  <c r="AO29" i="1"/>
  <c r="AP29" i="1"/>
  <c r="AQ29" i="1"/>
  <c r="AR29" i="1"/>
  <c r="AO21" i="1"/>
  <c r="AP21" i="1"/>
  <c r="AQ21" i="1"/>
  <c r="AR21" i="1"/>
  <c r="AN21" i="1"/>
  <c r="AN20" i="1"/>
  <c r="AO20" i="1"/>
  <c r="AP20" i="1"/>
  <c r="AQ20" i="1"/>
  <c r="AR20" i="1"/>
  <c r="AO112" i="1" l="1"/>
  <c r="AU96" i="1" a="1"/>
  <c r="AU96" i="1" s="1"/>
  <c r="AU91" i="1"/>
  <c r="AU90" i="1"/>
  <c r="AU92" i="1" s="1"/>
  <c r="AU88" i="1"/>
  <c r="AU87" i="1"/>
  <c r="AU100" i="1" s="1"/>
  <c r="AU86" i="1"/>
  <c r="AU89" i="1" s="1"/>
  <c r="AS19" i="1"/>
  <c r="AS16" i="1"/>
  <c r="AV13" i="1"/>
  <c r="AU13" i="1"/>
  <c r="AT13" i="1"/>
  <c r="AS13" i="1"/>
  <c r="AV10" i="1"/>
  <c r="AU10" i="1"/>
  <c r="AT10" i="1"/>
  <c r="AS10"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AM105" i="1"/>
  <c r="AN106" i="1" s="1"/>
  <c r="AS106" i="1" s="1"/>
  <c r="H105" i="1"/>
  <c r="X105" i="1"/>
  <c r="AF105" i="1"/>
  <c r="Q105" i="1"/>
  <c r="Y105" i="1"/>
  <c r="AG105" i="1"/>
  <c r="B105" i="1"/>
  <c r="R105" i="1"/>
  <c r="AH105" i="1"/>
  <c r="S105" i="1"/>
  <c r="D105" i="1"/>
  <c r="AB105" i="1"/>
  <c r="E105" i="1"/>
  <c r="U105" i="1"/>
  <c r="AL105" i="1"/>
  <c r="P105" i="1"/>
  <c r="J105" i="1"/>
  <c r="Z105" i="1"/>
  <c r="K105" i="1"/>
  <c r="AI105" i="1"/>
  <c r="L105" i="1"/>
  <c r="AJ105" i="1"/>
  <c r="M105" i="1"/>
  <c r="N105" i="1"/>
  <c r="V105" i="1"/>
  <c r="I105" i="1"/>
  <c r="C105" i="1"/>
  <c r="T105" i="1"/>
  <c r="F105" i="1"/>
  <c r="AD105" i="1"/>
  <c r="AA105" i="1"/>
  <c r="AK105" i="1"/>
  <c r="AC105" i="1"/>
  <c r="AU107" i="1"/>
  <c r="AV19" i="1"/>
  <c r="AU22" i="1"/>
  <c r="AU19" i="1"/>
  <c r="AT19" i="1"/>
  <c r="AU104" i="1"/>
  <c r="AU101" i="1" s="1"/>
  <c r="AO113" i="1"/>
  <c r="AV16" i="1"/>
  <c r="AU16" i="1"/>
  <c r="AT16" i="1"/>
  <c r="AU93" i="1"/>
  <c r="AU103" i="1" l="1"/>
  <c r="AU95" i="1" l="1"/>
  <c r="AU98" i="1" s="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<sst xmlns="http://schemas.openxmlformats.org/spreadsheetml/2006/main" count="1206" uniqueCount="168">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</sst>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70" fontId="1" fillId="0" borderId="0" xfId="0" applyNumberFormat="1" applyFont="1" applyAlignment="1">
      <alignment horizontal="center" vertical="center"/>
    </xf>
    <xf numFmtId="9" fontId="11" fillId="0" borderId="0" xfId="0" applyNumberFormat="1" applyFont="1"/>
    <xf numFmtId="0" fontId="17" fillId="3" borderId="6" xfId="0" applyFont="1" applyFill="1" applyBorder="1" applyAlignment="1">
      <alignment horizontal="center" vertical="center" wrapText="1"/>
    </xf>
    <xf numFmtId="9" fontId="1" fillId="8" borderId="0" xfId="0" applyNumberFormat="1" applyFont="1"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7" borderId="0" xfId="0" applyNumberFormat="1" applyFont="1" applyFill="1"/>
    <xf numFmtId="0" fontId="0" fillId="7" borderId="0" xfId="0" applyFill="1" applyAlignment="1">
      <alignment horizontal="center" vertical="center"/>
    </xf>
    <xf numFmtId="165" fontId="10" fillId="7" borderId="0" xfId="0" applyNumberFormat="1" applyFont="1" applyFill="1" applyAlignment="1">
      <alignment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 Nordisk</a:t>
            </a:r>
          </a:p>
        </c:rich>
      </c:tx>
      <c:layout>
        <c:manualLayout>
          <c:xMode val="edge"/>
          <c:yMode val="edge"/>
          <c:x val="0.40637204070421423"/>
          <c:y val="2.34518165578596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017940199335548"/>
          <c:y val="0.15399049047304575"/>
          <c:w val="0.81141528239202654"/>
          <c:h val="0.6294606059109194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pt idx="38">
                  <c:v>224600000000</c:v>
                </c:pt>
                <c:pt idx="39">
                  <c:v>263100000000</c:v>
                </c:pt>
                <c:pt idx="40">
                  <c:v>301600000000</c:v>
                </c:pt>
                <c:pt idx="41">
                  <c:v>347300000000</c:v>
                </c:pt>
                <c:pt idx="42">
                  <c:v>354400000000</c:v>
                </c:pt>
              </c:numCache>
            </c:numRef>
          </c:val>
          <c:extLst>
            <c:ext xmlns:c16="http://schemas.microsoft.com/office/drawing/2014/chart" uri="{C3380CC4-5D6E-409C-BE32-E72D297353CC}">
              <c16:uniqueId val="{00000000-48E4-4643-85DF-F42884803B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607759200</c:v>
                </c:pt>
                <c:pt idx="1">
                  <c:v>521317500</c:v>
                </c:pt>
                <c:pt idx="2">
                  <c:v>480404200</c:v>
                </c:pt>
                <c:pt idx="3">
                  <c:v>637907200</c:v>
                </c:pt>
                <c:pt idx="4">
                  <c:v>745986750</c:v>
                </c:pt>
                <c:pt idx="5">
                  <c:v>760121600</c:v>
                </c:pt>
                <c:pt idx="6">
                  <c:v>930193550</c:v>
                </c:pt>
                <c:pt idx="7">
                  <c:v>1272690250</c:v>
                </c:pt>
                <c:pt idx="8">
                  <c:v>1430347500</c:v>
                </c:pt>
                <c:pt idx="9">
                  <c:v>1431443860</c:v>
                </c:pt>
                <c:pt idx="10">
                  <c:v>1561735600</c:v>
                </c:pt>
                <c:pt idx="11">
                  <c:v>1802530706</c:v>
                </c:pt>
                <c:pt idx="12">
                  <c:v>2219119182</c:v>
                </c:pt>
                <c:pt idx="13">
                  <c:v>2408763364</c:v>
                </c:pt>
                <c:pt idx="14">
                  <c:v>2410121260</c:v>
                </c:pt>
                <c:pt idx="15">
                  <c:v>3088162000</c:v>
                </c:pt>
                <c:pt idx="16">
                  <c:v>3851198610</c:v>
                </c:pt>
                <c:pt idx="17">
                  <c:v>4090904820</c:v>
                </c:pt>
                <c:pt idx="18">
                  <c:v>4872064800</c:v>
                </c:pt>
                <c:pt idx="19">
                  <c:v>5048785200</c:v>
                </c:pt>
                <c:pt idx="20">
                  <c:v>5856397420</c:v>
                </c:pt>
                <c:pt idx="21">
                  <c:v>6452985200</c:v>
                </c:pt>
                <c:pt idx="22">
                  <c:v>8535266000</c:v>
                </c:pt>
                <c:pt idx="23">
                  <c:v>9666004400</c:v>
                </c:pt>
                <c:pt idx="24">
                  <c:v>10768000000</c:v>
                </c:pt>
                <c:pt idx="25">
                  <c:v>14403000000</c:v>
                </c:pt>
                <c:pt idx="26">
                  <c:v>17097000000</c:v>
                </c:pt>
                <c:pt idx="27">
                  <c:v>21432000000</c:v>
                </c:pt>
                <c:pt idx="28">
                  <c:v>25184000000</c:v>
                </c:pt>
                <c:pt idx="29">
                  <c:v>26481000000</c:v>
                </c:pt>
                <c:pt idx="30">
                  <c:v>34860000000</c:v>
                </c:pt>
                <c:pt idx="31">
                  <c:v>37925000000</c:v>
                </c:pt>
                <c:pt idx="32">
                  <c:v>38130000000</c:v>
                </c:pt>
                <c:pt idx="33">
                  <c:v>38628000000</c:v>
                </c:pt>
                <c:pt idx="34">
                  <c:v>38951000000</c:v>
                </c:pt>
                <c:pt idx="35">
                  <c:v>42138000000</c:v>
                </c:pt>
                <c:pt idx="36">
                  <c:v>47757000000</c:v>
                </c:pt>
                <c:pt idx="37">
                  <c:v>55525000000</c:v>
                </c:pt>
                <c:pt idx="38">
                  <c:v>80138000000</c:v>
                </c:pt>
                <c:pt idx="39">
                  <c:v>92886000000</c:v>
                </c:pt>
                <c:pt idx="40">
                  <c:v>109900000000</c:v>
                </c:pt>
                <c:pt idx="41">
                  <c:v>124400000000</c:v>
                </c:pt>
                <c:pt idx="42">
                  <c:v>126500000000</c:v>
                </c:pt>
              </c:numCache>
            </c:numRef>
          </c:val>
          <c:extLst>
            <c:ext xmlns:c16="http://schemas.microsoft.com/office/drawing/2014/chart" uri="{C3380CC4-5D6E-409C-BE32-E72D297353CC}">
              <c16:uniqueId val="{00000001-48E4-4643-85DF-F42884803B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pt idx="38">
                  <c:v>71807000000</c:v>
                </c:pt>
                <c:pt idx="39">
                  <c:v>84808000000</c:v>
                </c:pt>
                <c:pt idx="40">
                  <c:v>104900000000</c:v>
                </c:pt>
                <c:pt idx="41">
                  <c:v>118000000000</c:v>
                </c:pt>
                <c:pt idx="42">
                  <c:v>117900000000</c:v>
                </c:pt>
              </c:numCache>
            </c:numRef>
          </c:val>
          <c:extLst>
            <c:ext xmlns:c16="http://schemas.microsoft.com/office/drawing/2014/chart" uri="{C3380CC4-5D6E-409C-BE32-E72D297353CC}">
              <c16:uniqueId val="{00000002-48E4-4643-85DF-F42884803B24}"/>
            </c:ext>
          </c:extLst>
        </c:ser>
        <c:dLbls>
          <c:showLegendKey val="0"/>
          <c:showVal val="0"/>
          <c:showCatName val="0"/>
          <c:showSerName val="0"/>
          <c:showPercent val="0"/>
          <c:showBubbleSize val="0"/>
        </c:dLbls>
        <c:gapWidth val="150"/>
        <c:overlap val="100"/>
        <c:axId val="574153263"/>
        <c:axId val="573676863"/>
      </c:barChart>
      <c:catAx>
        <c:axId val="574153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73676863"/>
        <c:crosses val="autoZero"/>
        <c:auto val="1"/>
        <c:lblAlgn val="ctr"/>
        <c:lblOffset val="100"/>
        <c:noMultiLvlLbl val="0"/>
      </c:catAx>
      <c:valAx>
        <c:axId val="5736768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74153263"/>
        <c:crosses val="autoZero"/>
        <c:crossBetween val="between"/>
      </c:valAx>
      <c:spPr>
        <a:noFill/>
        <a:ln>
          <a:noFill/>
        </a:ln>
        <a:effectLst/>
      </c:spPr>
    </c:plotArea>
    <c:legend>
      <c:legendPos val="b"/>
      <c:layout>
        <c:manualLayout>
          <c:xMode val="edge"/>
          <c:yMode val="edge"/>
          <c:x val="0.34099908441677346"/>
          <c:y val="0.8988684267685868"/>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0</xdr:colOff>
      <xdr:row>109</xdr:row>
      <xdr:rowOff>33337</xdr:rowOff>
    </xdr:from>
    <xdr:to>
      <xdr:col>46</xdr:col>
      <xdr:colOff>1587500</xdr:colOff>
      <xdr:row>127</xdr:row>
      <xdr:rowOff>190499</xdr:rowOff>
    </xdr:to>
    <xdr:graphicFrame macro="">
      <xdr:nvGraphicFramePr>
        <xdr:cNvPr id="3" name="Chart 2">
          <a:extLst>
            <a:ext uri="{FF2B5EF4-FFF2-40B4-BE49-F238E27FC236}">
              <a16:creationId xmlns:a16="http://schemas.microsoft.com/office/drawing/2014/main" id="{724E9C85-D02D-022C-67B0-F8032B919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0.74519999999999997</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SIX Swiss Exchange</v>
    <v>XSWX</v>
    <v>XSWX</v>
    <v>Novo Alle 1, BAGSVAERD, DENMARK-NA, 2880 DK</v>
    <v>49.67</v>
    <v>Pharmaceuticals</v>
    <v>Stock</v>
    <v>43644.651412037034</v>
    <v>0</v>
    <v>49.67</v>
    <v>778949400000</v>
    <v>Novo Nordisk A/S</v>
    <v>Novo Nordisk A/S</v>
    <v>49.67</v>
    <v>22.889399999999998</v>
    <v>49.51</v>
    <v>49.67</v>
    <v>3435128000</v>
    <v>NOVOB</v>
    <v>Novo Nordisk A/S (XSWX:NOVOB)</v>
    <v>1113977</v>
    <v>2609070</v>
    <v>1931</v>
  </rv>
  <rv s="2">
    <v>1</v>
  </rv>
  <rv s="0">
    <v>https://www.bing.com/financeapi/forcetrigger?t=a1yvxm&amp;q=XNYS%3aNVO&amp;form=skydnc</v>
    <v>Learn more on Bing</v>
  </rv>
  <rv s="3">
    <v>5</v>
    <v>Novo Nordisk A/S (XNYS:NVO)</v>
    <v>2</v>
    <v>6</v>
    <v>Finance</v>
    <v>7</v>
    <v>en-US</v>
    <v>a1yvxm</v>
    <v>268435456</v>
    <v>1</v>
    <v>Powered by Refinitiv</v>
    <v>104</v>
    <v>54.85</v>
    <v>0.74519999999999997</v>
    <v>3.25</v>
    <v>3.3271999999999996E-2</v>
    <v>-0.03</v>
    <v>-2.9720000000000001E-4</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102.25</v>
    <v>Pharmaceuticals</v>
    <v>Stock</v>
    <v>45232.99913009219</v>
    <v>3</v>
    <v>100.3</v>
    <v>2362338000000</v>
    <v>Novo Nordisk A/S</v>
    <v>Novo Nordisk A/S</v>
    <v>101.28</v>
    <v>65.430899999999994</v>
    <v>97.68</v>
    <v>100.93</v>
    <v>100.9</v>
    <v>3435128000</v>
    <v>NVO</v>
    <v>Novo Nordisk A/S (XNYS:NVO)</v>
    <v>5377687</v>
    <v>4923814</v>
    <v>1931</v>
  </rv>
  <rv s="2">
    <v>4</v>
  </rv>
  <rv s="4">
    <v>8</v>
    <v>DKK/USD</v>
    <v>9</v>
    <v>10</v>
    <v>Finance</v>
    <v>11</v>
    <v>en-US</v>
    <v>av79ec</v>
    <v>268435456</v>
    <v>1</v>
    <v>Powered by Refinitiv</v>
    <v>0.15129999999999999</v>
    <v>0.13070000000000001</v>
    <v>1E-4</v>
    <v>7.027E-4</v>
    <v>USD</v>
    <v>DKK</v>
    <v>0.14249999999999999</v>
    <v>Currency Pair</v>
    <v>45233.297002314815</v>
    <v>0.14219999999999999</v>
    <v>Danish Krone/US Dollar FX Cross Rate</v>
    <v>0.14230000000000001</v>
    <v>0.14230000000000001</v>
    <v>0.1424</v>
    <v>DKKUSD</v>
    <v>DKK/USD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6</v>
      <v>10</v>
      <v>10</v>
      <v>10</v>
      <v>4</v>
      <v>7</v>
      <v>8</v>
      <v>9</v>
      <v>4</v>
      <v>10</v>
      <v>10</v>
      <v>5</v>
    </spb>
    <spb s="6">
      <v>at close</v>
      <v>from previous close</v>
      <v>from previous close</v>
      <v>Source: Nasdaq Last Sale</v>
      <v>GMT</v>
      <v>Real-Time Nasdaq Last Sale</v>
      <v>from close</v>
      <v>from close</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7" activePane="bottomRight" state="frozen"/>
      <selection pane="topRight"/>
      <selection pane="bottomLeft"/>
      <selection pane="bottomRight" activeCell="AN128" sqref="AN12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224600000000</v>
      </c>
      <c r="AO3" s="24">
        <v>263100000000</v>
      </c>
      <c r="AP3" s="24">
        <v>301600000000</v>
      </c>
      <c r="AQ3" s="24">
        <v>347300000000</v>
      </c>
      <c r="AR3" s="24">
        <v>354400000000</v>
      </c>
      <c r="AS3" s="18" t="s">
        <v>108</v>
      </c>
      <c r="AT3" s="19" t="s">
        <v>109</v>
      </c>
      <c r="AU3" s="19" t="s">
        <v>110</v>
      </c>
      <c r="AV3" s="19" t="s">
        <v>111</v>
      </c>
    </row>
    <row r="4" spans="1:48" ht="19" x14ac:dyDescent="0.25">
      <c r="A4" s="14" t="s">
        <v>93</v>
      </c>
      <c r="B4" s="1"/>
      <c r="C4" s="47">
        <f>(C3/B3)-1</f>
        <v>6.980606192824812E-3</v>
      </c>
      <c r="D4" s="47">
        <f>(D3/C3)-1</f>
        <v>0.20068544466229898</v>
      </c>
      <c r="E4" s="47">
        <f>(E3/D3)-1</f>
        <v>0.1197391343547396</v>
      </c>
      <c r="F4" s="47">
        <f t="shared" ref="F4:AR4" si="0">(F3/E3)-1</f>
        <v>0.35335182953018274</v>
      </c>
      <c r="G4" s="47">
        <f t="shared" si="0"/>
        <v>9.3550547729781997E-2</v>
      </c>
      <c r="H4" s="47">
        <f t="shared" si="0"/>
        <v>0.17973610997758005</v>
      </c>
      <c r="I4" s="47">
        <f t="shared" si="0"/>
        <v>8.5595826170694389E-2</v>
      </c>
      <c r="J4" s="47">
        <f t="shared" si="0"/>
        <v>0.23192594128806188</v>
      </c>
      <c r="K4" s="47">
        <f t="shared" si="0"/>
        <v>2.8316204797541822E-2</v>
      </c>
      <c r="L4" s="47">
        <f t="shared" si="0"/>
        <v>1.4446397493055319E-2</v>
      </c>
      <c r="M4" s="47">
        <f t="shared" si="0"/>
        <v>8.683752517150567E-2</v>
      </c>
      <c r="N4" s="47">
        <f t="shared" si="0"/>
        <v>0.13956676439935589</v>
      </c>
      <c r="O4" s="47">
        <f t="shared" si="0"/>
        <v>5.4501255620785782E-2</v>
      </c>
      <c r="P4" s="47">
        <f t="shared" si="0"/>
        <v>0.169445370969868</v>
      </c>
      <c r="Q4" s="47">
        <f t="shared" si="0"/>
        <v>-6.1774673179387785E-3</v>
      </c>
      <c r="R4" s="47">
        <f t="shared" si="0"/>
        <v>0.13941957425539075</v>
      </c>
      <c r="S4" s="47">
        <f t="shared" si="0"/>
        <v>6.0592561716144688E-2</v>
      </c>
      <c r="T4" s="47">
        <f t="shared" si="0"/>
        <v>5.8000558354871501E-2</v>
      </c>
      <c r="U4" s="47">
        <f t="shared" si="0"/>
        <v>9.846672664247702E-2</v>
      </c>
      <c r="V4" s="47">
        <f t="shared" si="0"/>
        <v>0.15325265129913146</v>
      </c>
      <c r="W4" s="47">
        <f t="shared" si="0"/>
        <v>0.14943871469471381</v>
      </c>
      <c r="X4" s="47">
        <f t="shared" si="0"/>
        <v>8.0949994630961086E-2</v>
      </c>
      <c r="Y4" s="47">
        <f t="shared" si="0"/>
        <v>9.0175625574527407E-2</v>
      </c>
      <c r="Z4" s="47">
        <f t="shared" si="0"/>
        <v>0.11850973002733989</v>
      </c>
      <c r="AA4" s="47">
        <f t="shared" si="0"/>
        <v>0.18986647871882223</v>
      </c>
      <c r="AB4" s="47">
        <f t="shared" si="0"/>
        <v>9.164801895485053E-2</v>
      </c>
      <c r="AC4" s="47">
        <f t="shared" si="0"/>
        <v>0.17604678503602322</v>
      </c>
      <c r="AD4" s="47">
        <f t="shared" si="0"/>
        <v>7.1078871145515699E-2</v>
      </c>
      <c r="AE4" s="47">
        <f t="shared" si="0"/>
        <v>6.262863159910026E-2</v>
      </c>
      <c r="AF4" s="47">
        <f t="shared" si="0"/>
        <v>0.21531202846654507</v>
      </c>
      <c r="AG4" s="47">
        <f t="shared" si="0"/>
        <v>3.5700056519684553E-2</v>
      </c>
      <c r="AH4" s="47">
        <f t="shared" si="0"/>
        <v>-7.5147611379500212E-4</v>
      </c>
      <c r="AI4" s="47">
        <f t="shared" si="0"/>
        <v>1.208637730984119E-3</v>
      </c>
      <c r="AJ4" s="47">
        <f t="shared" si="0"/>
        <v>9.1119635879139071E-2</v>
      </c>
      <c r="AK4" s="47">
        <f t="shared" si="0"/>
        <v>4.0361904918005953E-2</v>
      </c>
      <c r="AL4" s="47">
        <f t="shared" si="0"/>
        <v>0.10913301718841084</v>
      </c>
      <c r="AM4" s="47">
        <f t="shared" si="0"/>
        <v>0.25677556818181824</v>
      </c>
      <c r="AN4" s="16">
        <f t="shared" si="0"/>
        <v>0.26925641692191182</v>
      </c>
      <c r="AO4" s="16">
        <f t="shared" si="0"/>
        <v>0.17141585040071239</v>
      </c>
      <c r="AP4" s="16">
        <f t="shared" si="0"/>
        <v>0.14633219308247813</v>
      </c>
      <c r="AQ4" s="16">
        <f t="shared" si="0"/>
        <v>0.15152519893899208</v>
      </c>
      <c r="AR4" s="16">
        <f t="shared" si="0"/>
        <v>2.0443420673769142E-2</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72" t="s">
        <v>113</v>
      </c>
      <c r="AU6" s="72" t="s">
        <v>114</v>
      </c>
      <c r="AV6" s="72"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AN21</f>
        <v>0.46304541406945682</v>
      </c>
      <c r="AU7" s="20">
        <f>AN30</f>
        <v>0.35680320569902046</v>
      </c>
      <c r="AV7" s="20">
        <f>AN107/AN3</f>
        <v>0.3197105966162066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8">
        <f>AU102/AM3</f>
        <v>4.4019880872995243</v>
      </c>
      <c r="AU16" s="28">
        <f>AU102/AM28</f>
        <v>14.028805042773525</v>
      </c>
      <c r="AV16" s="29">
        <f>AU102/AM107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157</v>
      </c>
      <c r="AU18" s="19" t="s">
        <v>158</v>
      </c>
      <c r="AV18" s="19" t="s">
        <v>159</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38">
        <v>104000000000</v>
      </c>
      <c r="AO19" s="38">
        <v>125100000000</v>
      </c>
      <c r="AP19" s="38">
        <v>147500000000</v>
      </c>
      <c r="AQ19" s="38">
        <v>163200000000</v>
      </c>
      <c r="AR19" s="38">
        <v>173700000000</v>
      </c>
      <c r="AS19" s="26">
        <f>AM40-AM56-AM61</f>
        <v>-2210000000</v>
      </c>
      <c r="AT19" s="28">
        <f>AU102/AN3</f>
        <v>3.4681629563668745</v>
      </c>
      <c r="AU19" s="28">
        <f>AU102/AN28</f>
        <v>9.720100326936036</v>
      </c>
      <c r="AV19" s="29">
        <f>AU102/AN107</f>
        <v>10.847819850432408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0.35413140282805133</v>
      </c>
      <c r="AO20" s="16">
        <f t="shared" ref="AO20" si="5">(AO19/AN19)-1</f>
        <v>0.20288461538461533</v>
      </c>
      <c r="AP20" s="16">
        <f t="shared" ref="AP20" si="6">(AP19/AO19)-1</f>
        <v>0.17905675459632286</v>
      </c>
      <c r="AQ20" s="16">
        <f t="shared" ref="AQ20" si="7">(AQ19/AP19)-1</f>
        <v>0.10644067796610179</v>
      </c>
      <c r="AR20" s="16">
        <f t="shared" ref="AR20" si="8">(AR19/AQ19)-1</f>
        <v>6.4338235294117752E-2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4">
        <v>0.434</v>
      </c>
      <c r="AN21" s="39">
        <f>AN19/AN3</f>
        <v>0.46304541406945682</v>
      </c>
      <c r="AO21" s="39">
        <f t="shared" ref="AO21:AR21" si="9">AO19/AO3</f>
        <v>0.47548460661345499</v>
      </c>
      <c r="AP21" s="39">
        <f t="shared" si="9"/>
        <v>0.48905835543766579</v>
      </c>
      <c r="AQ21" s="39">
        <f t="shared" si="9"/>
        <v>0.46991073999424127</v>
      </c>
      <c r="AR21" s="39">
        <f t="shared" si="9"/>
        <v>0.49012415349887134</v>
      </c>
      <c r="AT21" s="48" t="s">
        <v>166</v>
      </c>
      <c r="AU21" s="18" t="s">
        <v>160</v>
      </c>
      <c r="AV21" s="19" t="s">
        <v>165</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3">
        <v>74809000000</v>
      </c>
      <c r="AT22" s="17">
        <f>SUM(AN29:AR29)/5</f>
        <v>0.18686866407346661</v>
      </c>
      <c r="AU22" s="30">
        <f>(-1*AM98)/AU102</f>
        <v>3.248349636061084E-2</v>
      </c>
      <c r="AV22" s="31">
        <f>AN107/AU102</f>
        <v>9.2184421735224398E-2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5">
        <v>80138000000</v>
      </c>
      <c r="AO28" s="35">
        <v>92886000000</v>
      </c>
      <c r="AP28" s="35">
        <v>109900000000</v>
      </c>
      <c r="AQ28" s="35">
        <v>124400000000</v>
      </c>
      <c r="AR28" s="35">
        <v>126500000000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0.44327780279153539</v>
      </c>
      <c r="AO29" s="16">
        <f t="shared" ref="AO29" si="12">(AO28/AN28)-1</f>
        <v>0.15907559459931608</v>
      </c>
      <c r="AP29" s="16">
        <f t="shared" ref="AP29" si="13">(AP28/AO28)-1</f>
        <v>0.18317076846887592</v>
      </c>
      <c r="AQ29" s="16">
        <f t="shared" ref="AQ29" si="14">(AQ28/AP28)-1</f>
        <v>0.13193812556869888</v>
      </c>
      <c r="AR29" s="16">
        <f t="shared" ref="AR29" si="15">(AR28/AQ28)-1</f>
        <v>1.688102893890675E-2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36">
        <f>AN28/AN3</f>
        <v>0.35680320569902046</v>
      </c>
      <c r="AO30" s="36">
        <f t="shared" ref="AO30:AR30" si="16">AO28/AO3</f>
        <v>0.35304446978335235</v>
      </c>
      <c r="AP30" s="36">
        <f t="shared" si="16"/>
        <v>0.36438992042440316</v>
      </c>
      <c r="AQ30" s="36">
        <f t="shared" si="16"/>
        <v>0.35819176504463002</v>
      </c>
      <c r="AR30" s="36">
        <f t="shared" si="16"/>
        <v>0.356941309255079</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37">
        <v>35.81</v>
      </c>
      <c r="AO31" s="37">
        <v>41.51</v>
      </c>
      <c r="AP31" s="37">
        <v>49.1</v>
      </c>
      <c r="AQ31" s="37">
        <v>55.44</v>
      </c>
      <c r="AR31" s="37">
        <v>56.54</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19"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N84" s="50"/>
      <c r="AO84" s="50"/>
      <c r="AP84" s="50"/>
      <c r="AQ84" s="50"/>
      <c r="AR84" s="50"/>
      <c r="AS84" s="50"/>
      <c r="AT84" s="77" t="s">
        <v>125</v>
      </c>
      <c r="AU84" s="78"/>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N85" s="50"/>
      <c r="AO85" s="50"/>
      <c r="AP85" s="50"/>
      <c r="AQ85" s="50"/>
      <c r="AR85" s="50"/>
      <c r="AS85" s="50"/>
      <c r="AT85" s="79" t="s">
        <v>126</v>
      </c>
      <c r="AU85" s="79"/>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N86" s="50"/>
      <c r="AO86" s="50"/>
      <c r="AP86" s="50"/>
      <c r="AQ86" s="50"/>
      <c r="AR86" s="50"/>
      <c r="AS86" s="50"/>
      <c r="AT86" s="40" t="s">
        <v>127</v>
      </c>
      <c r="AU86" s="51">
        <f>AM17</f>
        <v>378000000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N87" s="50"/>
      <c r="AO87" s="50"/>
      <c r="AP87" s="50"/>
      <c r="AQ87" s="50"/>
      <c r="AR87" s="50"/>
      <c r="AS87" s="50"/>
      <c r="AT87" s="40" t="s">
        <v>128</v>
      </c>
      <c r="AU87" s="51">
        <f>AM56</f>
        <v>1466000000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N88" s="50"/>
      <c r="AO88" s="50"/>
      <c r="AP88" s="50"/>
      <c r="AQ88" s="50"/>
      <c r="AR88" s="50"/>
      <c r="AS88" s="50"/>
      <c r="AT88" s="40" t="s">
        <v>129</v>
      </c>
      <c r="AU88" s="51">
        <f>AM61</f>
        <v>24318000000</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N89" s="50"/>
      <c r="AO89" s="50"/>
      <c r="AP89" s="50"/>
      <c r="AQ89" s="50"/>
      <c r="AR89" s="50"/>
      <c r="AS89" s="50"/>
      <c r="AT89" s="41" t="s">
        <v>130</v>
      </c>
      <c r="AU89" s="52">
        <f>AU86/(AU87+AU88)</f>
        <v>1.4660254421346572E-2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N90" s="50"/>
      <c r="AO90" s="50"/>
      <c r="AP90" s="50"/>
      <c r="AQ90" s="50"/>
      <c r="AR90" s="50"/>
      <c r="AS90" s="50"/>
      <c r="AT90" s="40" t="s">
        <v>105</v>
      </c>
      <c r="AU90" s="51">
        <f>AM27</f>
        <v>13537000000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N91" s="50"/>
      <c r="AO91" s="50"/>
      <c r="AP91" s="50"/>
      <c r="AQ91" s="50"/>
      <c r="AR91" s="50"/>
      <c r="AS91" s="50"/>
      <c r="AT91" s="40" t="s">
        <v>19</v>
      </c>
      <c r="AU91" s="51">
        <f>AM25</f>
        <v>69062000000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N92" s="50"/>
      <c r="AO92" s="50"/>
      <c r="AP92" s="50"/>
      <c r="AQ92" s="50"/>
      <c r="AR92" s="50"/>
      <c r="AS92" s="50"/>
      <c r="AT92" s="41" t="s">
        <v>131</v>
      </c>
      <c r="AU92" s="52">
        <f>AU90/AU91</f>
        <v>0.19601227882192812</v>
      </c>
    </row>
    <row r="93" spans="1:47" ht="19" customHeight="1"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N93" s="50"/>
      <c r="AO93" s="50"/>
      <c r="AP93" s="50"/>
      <c r="AQ93" s="50"/>
      <c r="AR93" s="50"/>
      <c r="AS93" s="50"/>
      <c r="AT93" s="41" t="s">
        <v>132</v>
      </c>
      <c r="AU93" s="52">
        <f>AU89*(1-AU92)</f>
        <v>1.1786664544109184E-2</v>
      </c>
    </row>
    <row r="94" spans="1:47" ht="20" customHeight="1"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N94" s="50"/>
      <c r="AO94" s="50"/>
      <c r="AP94" s="50"/>
      <c r="AQ94" s="50"/>
      <c r="AR94" s="50"/>
      <c r="AS94" s="50"/>
      <c r="AT94" s="79" t="s">
        <v>133</v>
      </c>
      <c r="AU94" s="79"/>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N95" s="50"/>
      <c r="AO95" s="50"/>
      <c r="AP95" s="50"/>
      <c r="AQ95" s="50"/>
      <c r="AR95" s="50"/>
      <c r="AS95" s="50"/>
      <c r="AT95" s="40" t="s">
        <v>134</v>
      </c>
      <c r="AU95" s="73">
        <f>'[1]US Treasury Bonds'!$C$8</f>
        <v>4.8750000000000002E-2</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N96" s="50"/>
      <c r="AO96" s="50"/>
      <c r="AP96" s="50"/>
      <c r="AQ96" s="50"/>
      <c r="AR96" s="50"/>
      <c r="AS96" s="50"/>
      <c r="AT96" s="42" t="s">
        <v>135</v>
      </c>
      <c r="AU96" s="53" cm="1">
        <f t="array" ref="AU96">_FV(A1,"Beta")</f>
        <v>0.74519999999999997</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N97" s="50"/>
      <c r="AO97" s="50"/>
      <c r="AP97" s="50"/>
      <c r="AQ97" s="50"/>
      <c r="AR97" s="50"/>
      <c r="AS97" s="50"/>
      <c r="AT97" s="40" t="s">
        <v>136</v>
      </c>
      <c r="AU97" s="54">
        <v>8.4000000000000005E-2</v>
      </c>
    </row>
    <row r="98" spans="1:48" ht="19" customHeight="1"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N98" s="50"/>
      <c r="AO98" s="50"/>
      <c r="AP98" s="50"/>
      <c r="AQ98" s="50"/>
      <c r="AR98" s="50"/>
      <c r="AS98" s="50"/>
      <c r="AT98" s="41" t="s">
        <v>137</v>
      </c>
      <c r="AU98" s="52">
        <f>(AU95)+((AU96)*(AU97-AU95))</f>
        <v>7.501830000000001E-2</v>
      </c>
      <c r="AV98" s="27" t="e" vm="2">
        <v>#VALUE!</v>
      </c>
    </row>
    <row r="99" spans="1:48" ht="19" customHeight="1"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N99" s="50"/>
      <c r="AO99" s="50"/>
      <c r="AP99" s="50"/>
      <c r="AQ99" s="50"/>
      <c r="AR99" s="50"/>
      <c r="AS99" s="50"/>
      <c r="AT99" s="79" t="s">
        <v>138</v>
      </c>
      <c r="AU99" s="79"/>
      <c r="AV99" s="27"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N100" s="50"/>
      <c r="AO100" s="50"/>
      <c r="AP100" s="50"/>
      <c r="AQ100" s="50"/>
      <c r="AR100" s="50"/>
      <c r="AS100" s="50"/>
      <c r="AT100" s="40" t="s">
        <v>139</v>
      </c>
      <c r="AU100" s="51">
        <f>AU87+AU88</f>
        <v>25784000000</v>
      </c>
      <c r="AV100" s="46" cm="1">
        <f t="array" ref="AV100">_FV(AV99,"Price")</f>
        <v>0.1424</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N101" s="50"/>
      <c r="AO101" s="50"/>
      <c r="AP101" s="50"/>
      <c r="AQ101" s="50"/>
      <c r="AR101" s="50"/>
      <c r="AS101" s="50"/>
      <c r="AT101" s="41" t="s">
        <v>140</v>
      </c>
      <c r="AU101" s="52">
        <f>AU100/AU104</f>
        <v>3.204042481646717E-2</v>
      </c>
      <c r="AV101" s="27" cm="1">
        <f t="array" ref="AV101">_FV(AV98,"Market cap",TRUE)</f>
        <v>2362338000000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N102" s="50"/>
      <c r="AO102" s="50"/>
      <c r="AP102" s="50"/>
      <c r="AQ102" s="50"/>
      <c r="AR102" s="50"/>
      <c r="AS102" s="50"/>
      <c r="AT102" s="42" t="s">
        <v>141</v>
      </c>
      <c r="AU102" s="55" cm="1">
        <f t="array" ref="AU102">_FV(A1,"Market cap",TRUE)</f>
        <v>778949400000</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N103" s="50"/>
      <c r="AO103" s="50"/>
      <c r="AP103" s="50"/>
      <c r="AQ103" s="50"/>
      <c r="AR103" s="50"/>
      <c r="AS103" s="50"/>
      <c r="AT103" s="41" t="s">
        <v>142</v>
      </c>
      <c r="AU103" s="52">
        <f>AU102/AU104</f>
        <v>0.96795957518353282</v>
      </c>
    </row>
    <row r="104" spans="1:48"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N104" s="81" t="s">
        <v>115</v>
      </c>
      <c r="AO104" s="81"/>
      <c r="AP104" s="81"/>
      <c r="AQ104" s="81"/>
      <c r="AR104" s="81"/>
      <c r="AS104" s="50"/>
      <c r="AT104" s="41" t="s">
        <v>143</v>
      </c>
      <c r="AU104" s="56">
        <f>AU100+AU102</f>
        <v>804733400000</v>
      </c>
    </row>
    <row r="105" spans="1:48" ht="21" customHeight="1" thickTop="1" x14ac:dyDescent="0.25">
      <c r="A105" s="14" t="s">
        <v>161</v>
      </c>
      <c r="B105" s="1" t="e">
        <f t="shared" ref="B105:AM105" si="20">(B22*(1-$AU$92))+B77+B88+B81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 t="shared" si="20"/>
        <v>50025517433.610382</v>
      </c>
      <c r="AN105" s="75">
        <f>AN107/AN3</f>
        <v>0.3197105966162066</v>
      </c>
      <c r="AO105" s="75">
        <f>AO107/AO3</f>
        <v>0.32234131508931962</v>
      </c>
      <c r="AP105" s="75">
        <f>AP107/AP3</f>
        <v>0.34781167108753314</v>
      </c>
      <c r="AQ105" s="75">
        <f>AQ107/AQ3</f>
        <v>0.33976389288799308</v>
      </c>
      <c r="AR105" s="75">
        <f>AR107/AR3</f>
        <v>0.33267494356659144</v>
      </c>
      <c r="AS105" s="74" t="s">
        <v>164</v>
      </c>
      <c r="AT105" s="79" t="s">
        <v>144</v>
      </c>
      <c r="AU105" s="79"/>
    </row>
    <row r="106" spans="1:48" ht="20" x14ac:dyDescent="0.25">
      <c r="A106" s="14" t="s">
        <v>106</v>
      </c>
      <c r="B106" s="1"/>
      <c r="C106" s="15" t="e">
        <f t="shared" ref="C106:AM106" si="21">(C107/B107)-1</f>
        <v>#VALUE!</v>
      </c>
      <c r="D106" s="15" t="e">
        <f t="shared" si="21"/>
        <v>#VALUE!</v>
      </c>
      <c r="E106" s="15" t="e">
        <f t="shared" si="21"/>
        <v>#VALUE!</v>
      </c>
      <c r="F106" s="15" t="e">
        <f t="shared" si="21"/>
        <v>#VALUE!</v>
      </c>
      <c r="G106" s="15" t="e">
        <f t="shared" si="21"/>
        <v>#VALUE!</v>
      </c>
      <c r="H106" s="15">
        <f t="shared" si="21"/>
        <v>-1.4923508615631733</v>
      </c>
      <c r="I106" s="15">
        <f t="shared" si="21"/>
        <v>2.8101263736314053</v>
      </c>
      <c r="J106" s="15">
        <f t="shared" si="21"/>
        <v>-0.21937066760666624</v>
      </c>
      <c r="K106" s="15">
        <f t="shared" si="21"/>
        <v>-2.8996513352278264</v>
      </c>
      <c r="L106" s="15">
        <f t="shared" si="21"/>
        <v>0.11557009173442379</v>
      </c>
      <c r="M106" s="15">
        <f t="shared" si="21"/>
        <v>-1.1223123280708309</v>
      </c>
      <c r="N106" s="15">
        <f t="shared" si="21"/>
        <v>-4.3398941240330196</v>
      </c>
      <c r="O106" s="15">
        <f t="shared" si="21"/>
        <v>2.1695874794635279</v>
      </c>
      <c r="P106" s="15">
        <f t="shared" si="21"/>
        <v>0.27193254100034836</v>
      </c>
      <c r="Q106" s="15">
        <f t="shared" si="21"/>
        <v>0.70293243506219127</v>
      </c>
      <c r="R106" s="15">
        <f t="shared" si="21"/>
        <v>-0.8701742149232512</v>
      </c>
      <c r="S106" s="15">
        <f t="shared" si="21"/>
        <v>1.4663535236371517</v>
      </c>
      <c r="T106" s="15">
        <f t="shared" si="21"/>
        <v>2.9538000381998097</v>
      </c>
      <c r="U106" s="15">
        <f t="shared" si="21"/>
        <v>0.22304824715743088</v>
      </c>
      <c r="V106" s="15">
        <f t="shared" si="21"/>
        <v>7.1392679674461945E-2</v>
      </c>
      <c r="W106" s="15">
        <f t="shared" si="21"/>
        <v>-7.8942953998839882E-2</v>
      </c>
      <c r="X106" s="15">
        <f t="shared" si="21"/>
        <v>0.710669498405192</v>
      </c>
      <c r="Y106" s="15">
        <f t="shared" si="21"/>
        <v>0.4339976640700145</v>
      </c>
      <c r="Z106" s="15">
        <f t="shared" si="21"/>
        <v>0.13446994943615942</v>
      </c>
      <c r="AA106" s="15">
        <f t="shared" si="21"/>
        <v>0.28173475188824826</v>
      </c>
      <c r="AB106" s="15">
        <f t="shared" si="21"/>
        <v>0.14320111519452539</v>
      </c>
      <c r="AC106" s="15">
        <f t="shared" si="21"/>
        <v>3.048442523001893E-2</v>
      </c>
      <c r="AD106" s="15">
        <f t="shared" si="21"/>
        <v>0.19933304647160077</v>
      </c>
      <c r="AE106" s="15">
        <f t="shared" si="21"/>
        <v>0.22688133464884741</v>
      </c>
      <c r="AF106" s="15">
        <f t="shared" si="21"/>
        <v>0.16536900975984214</v>
      </c>
      <c r="AG106" s="15">
        <f t="shared" si="21"/>
        <v>0.25614002070198549</v>
      </c>
      <c r="AH106" s="15">
        <f t="shared" si="21"/>
        <v>-0.18795415386920367</v>
      </c>
      <c r="AI106" s="15">
        <f t="shared" si="21"/>
        <v>-9.6555965559655954E-3</v>
      </c>
      <c r="AJ106" s="15">
        <f t="shared" si="21"/>
        <v>0.1038626342917468</v>
      </c>
      <c r="AK106" s="15">
        <f t="shared" si="21"/>
        <v>-0.15979859919552197</v>
      </c>
      <c r="AL106" s="15">
        <f t="shared" si="21"/>
        <v>0.59407432206226973</v>
      </c>
      <c r="AM106" s="15">
        <f t="shared" si="21"/>
        <v>0.34692848892155825</v>
      </c>
      <c r="AN106" s="58">
        <f>(AN107/AM105)/4</f>
        <v>0.35885186042951056</v>
      </c>
      <c r="AO106" s="58">
        <f>(AO107/AN107)-1</f>
        <v>0.1810547718189035</v>
      </c>
      <c r="AP106" s="58">
        <f>(AP107/AO107)-1</f>
        <v>0.23691161211206491</v>
      </c>
      <c r="AQ106" s="58">
        <f>(AQ107/AP107)-1</f>
        <v>0.12488083889418489</v>
      </c>
      <c r="AR106" s="58">
        <f>(AR107/AQ107)-1</f>
        <v>-8.4745762711868622E-4</v>
      </c>
      <c r="AS106" s="49">
        <f>SUM(AN106:AR106)/5</f>
        <v>0.18017032512550904</v>
      </c>
      <c r="AT106" s="43" t="s">
        <v>107</v>
      </c>
      <c r="AU106" s="59">
        <f>(AU101*AU93)+(AU103*AU98)</f>
        <v>7.2992331538153279E-2</v>
      </c>
    </row>
    <row r="107" spans="1:48" ht="19" x14ac:dyDescent="0.25">
      <c r="A107" s="32" t="s">
        <v>162</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60">
        <v>71807000000</v>
      </c>
      <c r="AO107" s="60">
        <v>84808000000</v>
      </c>
      <c r="AP107" s="60">
        <v>104900000000</v>
      </c>
      <c r="AQ107" s="60">
        <v>118000000000</v>
      </c>
      <c r="AR107" s="60">
        <v>117900000000</v>
      </c>
      <c r="AS107" s="57" t="s">
        <v>163</v>
      </c>
      <c r="AT107" s="61" t="s">
        <v>167</v>
      </c>
      <c r="AU107" s="44">
        <f>(SUM(AN4:AR4)/5)</f>
        <v>0.15179461600357272</v>
      </c>
    </row>
    <row r="108" spans="1:48" ht="19" x14ac:dyDescent="0.2">
      <c r="AN108" s="76"/>
      <c r="AO108" s="76"/>
      <c r="AP108" s="76"/>
      <c r="AQ108" s="76"/>
      <c r="AR108" s="62">
        <f>AR107*(1+AU108)/(AU109-AU108)</f>
        <v>2518058534079.0913</v>
      </c>
      <c r="AS108" s="63" t="s">
        <v>145</v>
      </c>
      <c r="AT108" s="64" t="s">
        <v>146</v>
      </c>
      <c r="AU108" s="45">
        <v>2.5000000000000001E-2</v>
      </c>
    </row>
    <row r="109" spans="1:48" ht="19" x14ac:dyDescent="0.2">
      <c r="AN109" s="62">
        <f t="shared" ref="AN109:AQ109" si="22">AN108+AN107</f>
        <v>71807000000</v>
      </c>
      <c r="AO109" s="62">
        <f t="shared" si="22"/>
        <v>84808000000</v>
      </c>
      <c r="AP109" s="62">
        <f t="shared" si="22"/>
        <v>104900000000</v>
      </c>
      <c r="AQ109" s="62">
        <f t="shared" si="22"/>
        <v>118000000000</v>
      </c>
      <c r="AR109" s="62">
        <f>AR108+AR107</f>
        <v>2635958534079.0913</v>
      </c>
      <c r="AS109" s="63" t="s">
        <v>143</v>
      </c>
      <c r="AT109" s="65" t="s">
        <v>147</v>
      </c>
      <c r="AU109" s="44">
        <f>AU106</f>
        <v>7.2992331538153279E-2</v>
      </c>
    </row>
    <row r="110" spans="1:48" ht="19" x14ac:dyDescent="0.2">
      <c r="AN110" s="80" t="s">
        <v>148</v>
      </c>
      <c r="AO110" s="80"/>
      <c r="AP110" s="50"/>
      <c r="AQ110" s="50"/>
      <c r="AR110" s="50"/>
      <c r="AS110" s="50"/>
      <c r="AT110" s="50"/>
      <c r="AU110" s="50"/>
    </row>
    <row r="111" spans="1:48" ht="20" x14ac:dyDescent="0.2">
      <c r="AN111" s="66" t="s">
        <v>149</v>
      </c>
      <c r="AO111" s="55">
        <f>NPV(AU109,AN109,AO109,AP109,AQ109,AR109)</f>
        <v>2167862713335.135</v>
      </c>
      <c r="AP111" s="50"/>
      <c r="AQ111" s="50"/>
      <c r="AR111" s="50"/>
      <c r="AS111" s="50"/>
      <c r="AT111" s="50"/>
      <c r="AU111" s="50"/>
    </row>
    <row r="112" spans="1:48" ht="20" x14ac:dyDescent="0.2">
      <c r="AN112" s="66" t="s">
        <v>150</v>
      </c>
      <c r="AO112" s="55">
        <f>AM40</f>
        <v>23574000000</v>
      </c>
      <c r="AP112" s="50"/>
      <c r="AQ112" s="50"/>
      <c r="AR112" s="50"/>
      <c r="AS112" s="50"/>
      <c r="AT112" s="50"/>
      <c r="AU112" s="50"/>
    </row>
    <row r="113" spans="40:47" ht="20" x14ac:dyDescent="0.2">
      <c r="AN113" s="66" t="s">
        <v>139</v>
      </c>
      <c r="AO113" s="55">
        <f>AU100</f>
        <v>25784000000</v>
      </c>
      <c r="AP113" s="50"/>
      <c r="AQ113" s="50"/>
      <c r="AR113" s="50"/>
      <c r="AS113" s="50"/>
      <c r="AT113" s="50"/>
      <c r="AU113" s="50"/>
    </row>
    <row r="114" spans="40:47" ht="20" x14ac:dyDescent="0.2">
      <c r="AN114" s="66" t="s">
        <v>151</v>
      </c>
      <c r="AO114" s="55">
        <f>AO111+AO112-AO113</f>
        <v>2165652713335.135</v>
      </c>
      <c r="AP114" s="50"/>
      <c r="AQ114" s="50"/>
      <c r="AR114" s="50"/>
      <c r="AS114" s="50"/>
      <c r="AT114" s="50"/>
      <c r="AU114" s="50"/>
    </row>
    <row r="115" spans="40:47" ht="20" x14ac:dyDescent="0.2">
      <c r="AN115" s="66" t="s">
        <v>152</v>
      </c>
      <c r="AO115" s="66" cm="1">
        <f t="array" ref="AO115">_FV(AV98,"Shares outstanding",TRUE)*(1+(5*AS16))</f>
        <v>3140439082.3980188</v>
      </c>
      <c r="AP115" s="50"/>
      <c r="AQ115" s="50"/>
      <c r="AR115" s="50"/>
      <c r="AS115" s="50"/>
      <c r="AT115" s="50"/>
      <c r="AU115" s="50"/>
    </row>
    <row r="116" spans="40:47" ht="20" x14ac:dyDescent="0.2">
      <c r="AN116" s="67" t="s">
        <v>153</v>
      </c>
      <c r="AO116" s="68">
        <f>AO114/AO115*AV100</f>
        <v>98.199308532181249</v>
      </c>
      <c r="AP116" s="50"/>
      <c r="AQ116" s="50"/>
      <c r="AR116" s="50"/>
      <c r="AS116" s="50"/>
      <c r="AT116" s="50"/>
      <c r="AU116" s="50"/>
    </row>
    <row r="117" spans="40:47" ht="20" x14ac:dyDescent="0.2">
      <c r="AN117" s="66" t="s">
        <v>154</v>
      </c>
      <c r="AO117" s="69" cm="1">
        <f t="array" ref="AO117">_FV(AV98,"Price")</f>
        <v>100.93</v>
      </c>
      <c r="AP117" s="50"/>
      <c r="AQ117" s="50"/>
      <c r="AR117" s="50"/>
      <c r="AS117" s="50"/>
      <c r="AT117" s="50"/>
      <c r="AU117" s="50"/>
    </row>
    <row r="118" spans="40:47" ht="20" x14ac:dyDescent="0.2">
      <c r="AN118" s="67" t="s">
        <v>155</v>
      </c>
      <c r="AO118" s="70">
        <f>AO116/AO117-1</f>
        <v>-2.7055300384610681E-2</v>
      </c>
      <c r="AP118" s="50"/>
      <c r="AQ118" s="50"/>
      <c r="AR118" s="50"/>
      <c r="AS118" s="50"/>
      <c r="AT118" s="50"/>
      <c r="AU118" s="50"/>
    </row>
    <row r="119" spans="40:47" ht="20" x14ac:dyDescent="0.2">
      <c r="AN119" s="67" t="s">
        <v>156</v>
      </c>
      <c r="AO119" s="71" t="str">
        <f>IF(AO116&gt;AO117,"BUY","SELL")</f>
        <v>SELL</v>
      </c>
      <c r="AP119" s="50"/>
      <c r="AQ119" s="50"/>
      <c r="AR119" s="50"/>
      <c r="AS119" s="50"/>
      <c r="AT119" s="50"/>
      <c r="AU119" s="50"/>
    </row>
  </sheetData>
  <mergeCells count="7">
    <mergeCell ref="AT84:AU84"/>
    <mergeCell ref="AT85:AU85"/>
    <mergeCell ref="AN110:AO110"/>
    <mergeCell ref="AN104:AR104"/>
    <mergeCell ref="AT105:AU105"/>
    <mergeCell ref="AT99:AU99"/>
    <mergeCell ref="AT94:AU9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7"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2023-03-14T05:50:53Z</dcterms:created>
  <dcterms:modified xsi:type="dcterms:W3CDTF">2023-11-03T07:07:47Z</dcterms:modified>
</cp:coreProperties>
</file>