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DD96128-1429-6943-B6B6-C3E02AA45B1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9" i="1" l="1"/>
  <c r="X109" i="1"/>
  <c r="Y109" i="1"/>
  <c r="Z109" i="1"/>
  <c r="AE7" i="1"/>
  <c r="AD7" i="1"/>
  <c r="AC7" i="1"/>
  <c r="AB7" i="1"/>
  <c r="W34" i="1" a="1"/>
  <c r="W34" i="1" s="1"/>
  <c r="W35" i="1" s="1"/>
  <c r="W33" i="1" a="1"/>
  <c r="W33" i="1" s="1"/>
  <c r="AC22" i="1"/>
  <c r="AA106" i="1"/>
  <c r="Z106" i="1"/>
  <c r="Y106" i="1"/>
  <c r="X106" i="1"/>
  <c r="W106" i="1"/>
  <c r="B105" i="1"/>
  <c r="AB106" i="1" l="1"/>
  <c r="W29" i="1"/>
  <c r="X29" i="1"/>
  <c r="Y29" i="1"/>
  <c r="Z29" i="1"/>
  <c r="AA29" i="1"/>
  <c r="W30" i="1"/>
  <c r="X30" i="1"/>
  <c r="Y30" i="1"/>
  <c r="Z30" i="1"/>
  <c r="AA30" i="1"/>
  <c r="W20" i="1"/>
  <c r="X20" i="1"/>
  <c r="Y20" i="1"/>
  <c r="Z20" i="1"/>
  <c r="AA20" i="1"/>
  <c r="W21" i="1"/>
  <c r="X21" i="1"/>
  <c r="Y21" i="1"/>
  <c r="Z21" i="1"/>
  <c r="AA21" i="1"/>
  <c r="V30" i="1"/>
  <c r="V23" i="1"/>
  <c r="V21" i="1"/>
  <c r="V7" i="1"/>
  <c r="X117" i="1" a="1"/>
  <c r="X117" i="1" s="1"/>
  <c r="AD102" i="1" a="1"/>
  <c r="AD102" i="1" s="1"/>
  <c r="AE22" i="1" s="1"/>
  <c r="AD96" i="1" a="1"/>
  <c r="AD96" i="1" s="1"/>
  <c r="AD87" i="1"/>
  <c r="AD88" i="1"/>
  <c r="AD100" i="1"/>
  <c r="X113" i="1" s="1"/>
  <c r="AD86" i="1"/>
  <c r="AD89" i="1"/>
  <c r="AD93" i="1" s="1"/>
  <c r="AD90" i="1"/>
  <c r="AD91" i="1"/>
  <c r="AD92" i="1"/>
  <c r="X112" i="1"/>
  <c r="AB16" i="1"/>
  <c r="X115" i="1"/>
  <c r="W4" i="1"/>
  <c r="X4" i="1"/>
  <c r="Y4" i="1"/>
  <c r="Z4" i="1"/>
  <c r="AA4" i="1"/>
  <c r="AB19" i="1"/>
  <c r="AE13" i="1"/>
  <c r="AD13" i="1"/>
  <c r="AC13" i="1"/>
  <c r="AB13" i="1"/>
  <c r="AD10" i="1"/>
  <c r="AC10"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C105" i="1" l="1"/>
  <c r="K105" i="1"/>
  <c r="S105" i="1"/>
  <c r="D105" i="1"/>
  <c r="L105" i="1"/>
  <c r="T105" i="1"/>
  <c r="E105" i="1"/>
  <c r="M105" i="1"/>
  <c r="U105" i="1"/>
  <c r="F105" i="1"/>
  <c r="N105" i="1"/>
  <c r="V105" i="1"/>
  <c r="O105" i="1"/>
  <c r="H105" i="1"/>
  <c r="P105" i="1"/>
  <c r="I105" i="1"/>
  <c r="Q105" i="1"/>
  <c r="J105" i="1"/>
  <c r="R105" i="1"/>
  <c r="G105" i="1"/>
  <c r="AD107" i="1"/>
  <c r="W105" i="1" s="1"/>
  <c r="AD22" i="1"/>
  <c r="AC19" i="1"/>
  <c r="AD19" i="1"/>
  <c r="AE16" i="1"/>
  <c r="AD16" i="1"/>
  <c r="AC16" i="1"/>
  <c r="AD104" i="1"/>
  <c r="AD101" i="1" s="1"/>
  <c r="AE19" i="1" l="1"/>
  <c r="X105" i="1"/>
  <c r="Y105" i="1" s="1"/>
  <c r="AD103" i="1"/>
  <c r="Z105" i="1" l="1"/>
  <c r="AA105" i="1" l="1"/>
  <c r="AD95" i="1" l="1"/>
  <c r="AD98" i="1" s="1"/>
  <c r="AD106" i="1" s="1"/>
  <c r="AD109" i="1" s="1"/>
  <c r="AA108" i="1" l="1"/>
  <c r="AA109" i="1" s="1"/>
  <c r="X111" i="1"/>
  <c r="X114" i="1" s="1"/>
  <c r="X116" i="1" s="1"/>
  <c r="X118" i="1" l="1"/>
  <c r="X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<sst xmlns="http://schemas.openxmlformats.org/spreadsheetml/2006/main" count="675" uniqueCount="169">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</sst>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10" fontId="11" fillId="4" borderId="0" xfId="0" applyNumberFormat="1" applyFont="1" applyFill="1"/>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MercadoLibre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223880597014924E-2"/>
          <c:y val="0.16890430246614563"/>
          <c:w val="0.83046102819237144"/>
          <c:h val="0.59934237078434949"/>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1'!$B$3:$AA$3</c:f>
              <c:numCache>
                <c:formatCode>#,###,,;\(#,###,,\);\ \-\ \-</c:formatCode>
                <c:ptCount val="26"/>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pt idx="21">
                  <c:v>13870000000</c:v>
                </c:pt>
                <c:pt idx="22">
                  <c:v>16857000000</c:v>
                </c:pt>
                <c:pt idx="23">
                  <c:v>20240000000</c:v>
                </c:pt>
                <c:pt idx="24">
                  <c:v>24060000000</c:v>
                </c:pt>
                <c:pt idx="25">
                  <c:v>26341000000</c:v>
                </c:pt>
              </c:numCache>
            </c:numRef>
          </c:val>
          <c:extLst>
            <c:ext xmlns:c16="http://schemas.microsoft.com/office/drawing/2014/chart" uri="{C3380CC4-5D6E-409C-BE32-E72D297353CC}">
              <c16:uniqueId val="{00000000-C2EC-534F-B22B-4EE8047B4FF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1'!$B$28:$AA$28</c:f>
              <c:numCache>
                <c:formatCode>#,###,,;\(#,###,,\);\ \-\ \-</c:formatCode>
                <c:ptCount val="26"/>
                <c:pt idx="0">
                  <c:v>-2500000</c:v>
                </c:pt>
                <c:pt idx="1">
                  <c:v>-3200000</c:v>
                </c:pt>
                <c:pt idx="2">
                  <c:v>-2206018</c:v>
                </c:pt>
                <c:pt idx="3">
                  <c:v>2354136</c:v>
                </c:pt>
                <c:pt idx="4">
                  <c:v>1072083</c:v>
                </c:pt>
                <c:pt idx="5">
                  <c:v>9692940</c:v>
                </c:pt>
                <c:pt idx="6">
                  <c:v>18811661</c:v>
                </c:pt>
                <c:pt idx="7">
                  <c:v>33208793</c:v>
                </c:pt>
                <c:pt idx="8">
                  <c:v>56025019</c:v>
                </c:pt>
                <c:pt idx="9">
                  <c:v>76780053</c:v>
                </c:pt>
                <c:pt idx="10">
                  <c:v>101247298</c:v>
                </c:pt>
                <c:pt idx="11">
                  <c:v>117507438</c:v>
                </c:pt>
                <c:pt idx="12">
                  <c:v>72580551</c:v>
                </c:pt>
                <c:pt idx="13">
                  <c:v>105789000</c:v>
                </c:pt>
                <c:pt idx="14">
                  <c:v>136366000</c:v>
                </c:pt>
                <c:pt idx="15">
                  <c:v>13780000</c:v>
                </c:pt>
                <c:pt idx="16">
                  <c:v>-36585000</c:v>
                </c:pt>
                <c:pt idx="17">
                  <c:v>-171999000</c:v>
                </c:pt>
                <c:pt idx="18">
                  <c:v>-707000</c:v>
                </c:pt>
                <c:pt idx="19">
                  <c:v>83304000</c:v>
                </c:pt>
                <c:pt idx="20">
                  <c:v>482000000</c:v>
                </c:pt>
                <c:pt idx="21">
                  <c:v>1053000000</c:v>
                </c:pt>
                <c:pt idx="22">
                  <c:v>1458000000</c:v>
                </c:pt>
                <c:pt idx="23">
                  <c:v>1923000000</c:v>
                </c:pt>
                <c:pt idx="24">
                  <c:v>2719000000</c:v>
                </c:pt>
                <c:pt idx="25">
                  <c:v>3728000000</c:v>
                </c:pt>
              </c:numCache>
            </c:numRef>
          </c:val>
          <c:extLst>
            <c:ext xmlns:c16="http://schemas.microsoft.com/office/drawing/2014/chart" uri="{C3380CC4-5D6E-409C-BE32-E72D297353CC}">
              <c16:uniqueId val="{00000001-C2EC-534F-B22B-4EE8047B4FF7}"/>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1'!$B$105:$AA$105</c:f>
              <c:numCache>
                <c:formatCode>#,###,,;\(#,###,,\);\ \-\ \-</c:formatCode>
                <c:ptCount val="26"/>
                <c:pt idx="0">
                  <c:v>0</c:v>
                </c:pt>
                <c:pt idx="1">
                  <c:v>0</c:v>
                </c:pt>
                <c:pt idx="2">
                  <c:v>0</c:v>
                </c:pt>
                <c:pt idx="3">
                  <c:v>1729471.0820512821</c:v>
                </c:pt>
                <c:pt idx="4">
                  <c:v>6101130.3051282056</c:v>
                </c:pt>
                <c:pt idx="5">
                  <c:v>5113243.0769230779</c:v>
                </c:pt>
                <c:pt idx="6">
                  <c:v>61323972.053846151</c:v>
                </c:pt>
                <c:pt idx="7">
                  <c:v>48713118.817948721</c:v>
                </c:pt>
                <c:pt idx="8">
                  <c:v>48796375.366666667</c:v>
                </c:pt>
                <c:pt idx="9">
                  <c:v>53434728.448717952</c:v>
                </c:pt>
                <c:pt idx="10">
                  <c:v>100507686.15641026</c:v>
                </c:pt>
                <c:pt idx="11">
                  <c:v>-5697910.8076923043</c:v>
                </c:pt>
                <c:pt idx="12">
                  <c:v>100713904.34102565</c:v>
                </c:pt>
                <c:pt idx="13">
                  <c:v>79381989.743589744</c:v>
                </c:pt>
                <c:pt idx="14">
                  <c:v>45596323.076923072</c:v>
                </c:pt>
                <c:pt idx="15">
                  <c:v>73736828.205128208</c:v>
                </c:pt>
                <c:pt idx="16">
                  <c:v>170592687.17948717</c:v>
                </c:pt>
                <c:pt idx="17">
                  <c:v>196800356.41025639</c:v>
                </c:pt>
                <c:pt idx="18">
                  <c:v>709679107.69230771</c:v>
                </c:pt>
                <c:pt idx="19">
                  <c:v>-96967146.153846145</c:v>
                </c:pt>
                <c:pt idx="20">
                  <c:v>2738958974.3589745</c:v>
                </c:pt>
                <c:pt idx="21">
                  <c:v>3295460001.9850879</c:v>
                </c:pt>
                <c:pt idx="22">
                  <c:v>3965030774.9590306</c:v>
                </c:pt>
                <c:pt idx="23">
                  <c:v>4770644777.0272017</c:v>
                </c:pt>
                <c:pt idx="24">
                  <c:v>5739943238.8547049</c:v>
                </c:pt>
                <c:pt idx="25">
                  <c:v>6906183529.7249966</c:v>
                </c:pt>
              </c:numCache>
            </c:numRef>
          </c:val>
          <c:extLst>
            <c:ext xmlns:c16="http://schemas.microsoft.com/office/drawing/2014/chart" uri="{C3380CC4-5D6E-409C-BE32-E72D297353CC}">
              <c16:uniqueId val="{00000002-C2EC-534F-B22B-4EE8047B4FF7}"/>
            </c:ext>
          </c:extLst>
        </c:ser>
        <c:dLbls>
          <c:showLegendKey val="0"/>
          <c:showVal val="0"/>
          <c:showCatName val="0"/>
          <c:showSerName val="0"/>
          <c:showPercent val="0"/>
          <c:showBubbleSize val="0"/>
        </c:dLbls>
        <c:gapWidth val="150"/>
        <c:overlap val="100"/>
        <c:axId val="1643472992"/>
        <c:axId val="1653249072"/>
      </c:barChart>
      <c:catAx>
        <c:axId val="1643472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653249072"/>
        <c:crosses val="autoZero"/>
        <c:auto val="1"/>
        <c:lblAlgn val="ctr"/>
        <c:lblOffset val="100"/>
        <c:noMultiLvlLbl val="0"/>
      </c:catAx>
      <c:valAx>
        <c:axId val="16532490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43472992"/>
        <c:crosses val="autoZero"/>
        <c:crossBetween val="between"/>
      </c:valAx>
      <c:spPr>
        <a:noFill/>
        <a:ln>
          <a:noFill/>
        </a:ln>
        <a:effectLst/>
      </c:spPr>
    </c:plotArea>
    <c:legend>
      <c:legendPos val="b"/>
      <c:layout>
        <c:manualLayout>
          <c:xMode val="edge"/>
          <c:yMode val="edge"/>
          <c:x val="0.33459077316827934"/>
          <c:y val="0.88851162023271746"/>
          <c:w val="0.33347185333176638"/>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31749</xdr:colOff>
      <xdr:row>109</xdr:row>
      <xdr:rowOff>17463</xdr:rowOff>
    </xdr:from>
    <xdr:to>
      <xdr:col>29</xdr:col>
      <xdr:colOff>1587499</xdr:colOff>
      <xdr:row>127</xdr:row>
      <xdr:rowOff>0</xdr:rowOff>
    </xdr:to>
    <xdr:graphicFrame macro="">
      <xdr:nvGraphicFramePr>
        <xdr:cNvPr id="3" name="Chart 2">
          <a:extLst>
            <a:ext uri="{FF2B5EF4-FFF2-40B4-BE49-F238E27FC236}">
              <a16:creationId xmlns:a16="http://schemas.microsoft.com/office/drawing/2014/main" id="{3BD46E8D-9E3F-1FA9-9972-CD28E9B7D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1451.56</v>
    <v>815.85500000000002</v>
    <v>1.5397000000000001</v>
    <v>68.290000000000006</v>
    <v>5.1753999999999994E-2</v>
    <v>-0.79</v>
    <v>-5.6930000000000001E-4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1393.78</v>
    <v>Software &amp; IT Services</v>
    <v>Stock</v>
    <v>45233.998626758592</v>
    <v>0</v>
    <v>1346.57</v>
    <v>69518106499</v>
    <v>MERCADOLIBRE, INC.</v>
    <v>MERCADOLIBRE, INC.</v>
    <v>1346.57</v>
    <v>67.4953</v>
    <v>1319.5</v>
    <v>1387.79</v>
    <v>1387</v>
    <v>50092670</v>
    <v>MELI</v>
    <v>MERCADOLIBRE, INC. (XNAS:MELI)</v>
    <v>734896</v>
    <v>384911</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9"/>
  <sheetViews>
    <sheetView tabSelected="1" zoomScale="80" zoomScaleNormal="80" workbookViewId="0">
      <pane xSplit="1" ySplit="1" topLeftCell="Q89" activePane="bottomRight" state="frozen"/>
      <selection pane="topRight"/>
      <selection pane="bottomLeft"/>
      <selection pane="bottomRight" activeCell="T115" sqref="T115"/>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13870000000</v>
      </c>
      <c r="X3" s="24">
        <v>16857000000</v>
      </c>
      <c r="Y3" s="24">
        <v>20240000000</v>
      </c>
      <c r="Z3" s="24">
        <v>24060000000</v>
      </c>
      <c r="AA3" s="24">
        <v>26341000000</v>
      </c>
      <c r="AB3" s="18" t="s">
        <v>108</v>
      </c>
      <c r="AC3" s="19" t="s">
        <v>109</v>
      </c>
      <c r="AD3" s="19" t="s">
        <v>110</v>
      </c>
      <c r="AE3" s="19" t="s">
        <v>111</v>
      </c>
    </row>
    <row r="4" spans="1:31" ht="19" x14ac:dyDescent="0.25">
      <c r="A4" s="14" t="s">
        <v>93</v>
      </c>
      <c r="B4" s="1"/>
      <c r="C4" s="42">
        <f>(C3/B3)-1</f>
        <v>2.2941176470588234</v>
      </c>
      <c r="D4" s="42">
        <f>(D3/C3)-1</f>
        <v>1.2613092857142858</v>
      </c>
      <c r="E4" s="42">
        <f>(E3/D3)-1</f>
        <v>1.2308249519162886</v>
      </c>
      <c r="F4" s="42">
        <f t="shared" ref="F4:AA4" si="0">(F3/E3)-1</f>
        <v>0.84281363641786067</v>
      </c>
      <c r="G4" s="42">
        <f t="shared" si="0"/>
        <v>0.63519316297370154</v>
      </c>
      <c r="H4" s="42">
        <f t="shared" si="0"/>
        <v>0.60963831395032009</v>
      </c>
      <c r="I4" s="42">
        <f t="shared" si="0"/>
        <v>0.26142399700137098</v>
      </c>
      <c r="J4" s="42">
        <f t="shared" si="0"/>
        <v>0.2538253465541549</v>
      </c>
      <c r="K4" s="42">
        <f t="shared" si="0"/>
        <v>0.37937217778020549</v>
      </c>
      <c r="L4" s="42">
        <f t="shared" si="0"/>
        <v>0.24978912485422033</v>
      </c>
      <c r="M4" s="42">
        <f t="shared" si="0"/>
        <v>0.26497007263038408</v>
      </c>
      <c r="N4" s="42">
        <f t="shared" si="0"/>
        <v>0.17761792800773812</v>
      </c>
      <c r="O4" s="42">
        <f t="shared" si="0"/>
        <v>0.17115514119066821</v>
      </c>
      <c r="P4" s="42">
        <f t="shared" si="0"/>
        <v>0.29550315285598128</v>
      </c>
      <c r="Q4" s="42">
        <f t="shared" si="0"/>
        <v>0.65573380262341363</v>
      </c>
      <c r="R4" s="42">
        <f t="shared" si="0"/>
        <v>2.9724732582549818E-2</v>
      </c>
      <c r="S4" s="42">
        <f t="shared" si="0"/>
        <v>0.59504686198688161</v>
      </c>
      <c r="T4" s="42">
        <f t="shared" si="0"/>
        <v>0.73036657878669908</v>
      </c>
      <c r="U4" s="42">
        <f t="shared" si="0"/>
        <v>0.77915471760793165</v>
      </c>
      <c r="V4" s="42">
        <f t="shared" si="0"/>
        <v>0.49050649071230712</v>
      </c>
      <c r="W4" s="16">
        <f t="shared" si="0"/>
        <v>0.31631394134953017</v>
      </c>
      <c r="X4" s="16">
        <f t="shared" si="0"/>
        <v>0.21535688536409525</v>
      </c>
      <c r="Y4" s="16">
        <f t="shared" si="0"/>
        <v>0.2006881414249273</v>
      </c>
      <c r="Z4" s="16">
        <f t="shared" si="0"/>
        <v>0.18873517786561256</v>
      </c>
      <c r="AA4" s="16">
        <f t="shared" si="0"/>
        <v>9.4804655029093965E-2</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67"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W21</f>
        <v>0.17476568132660419</v>
      </c>
      <c r="AD7" s="20">
        <f>W30</f>
        <v>7.5919250180245132E-2</v>
      </c>
      <c r="AE7" s="20">
        <f>W107/W3</f>
        <v>4.3914924297043981E-2</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2">
        <f>AD102/V3</f>
        <v>6.5975236309196168</v>
      </c>
      <c r="AD16" s="32">
        <f>AD102/V28</f>
        <v>144.228436719917</v>
      </c>
      <c r="AE16" s="33">
        <f>AD102/V107</f>
        <v>27.963840104183426</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27">
        <v>2424000000</v>
      </c>
      <c r="X19" s="27">
        <v>2934000000</v>
      </c>
      <c r="Y19" s="27">
        <v>3740000000</v>
      </c>
      <c r="Z19" s="27">
        <v>4838000000</v>
      </c>
      <c r="AA19" s="27">
        <v>5581000000</v>
      </c>
      <c r="AB19" s="26">
        <f>V40-V56-V61</f>
        <v>3593000000</v>
      </c>
      <c r="AC19" s="32">
        <f>AD102/W3</f>
        <v>5.0121201513338143</v>
      </c>
      <c r="AD19" s="32">
        <f>AD102/W28</f>
        <v>66.019094490978162</v>
      </c>
      <c r="AE19" s="33">
        <f>AD102/W105</f>
        <v>21.095114629558346</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0.61170212765957444</v>
      </c>
      <c r="X20" s="16">
        <f t="shared" ref="X20" si="5">(X19/W19)-1</f>
        <v>0.21039603960396036</v>
      </c>
      <c r="Y20" s="16">
        <f t="shared" ref="Y20" si="6">(Y19/X19)-1</f>
        <v>0.27471029311520101</v>
      </c>
      <c r="Z20" s="16">
        <f t="shared" ref="Z20" si="7">(Z19/Y19)-1</f>
        <v>0.29358288770053487</v>
      </c>
      <c r="AA20" s="16">
        <f t="shared" ref="AA20" si="8">(AA19/Z19)-1</f>
        <v>0.15357585779247618</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1">
        <f t="shared" ref="W21:AA21" si="9">W19/W3</f>
        <v>0.17476568132660419</v>
      </c>
      <c r="X21" s="31">
        <f t="shared" si="9"/>
        <v>0.17405232247730912</v>
      </c>
      <c r="Y21" s="31">
        <f t="shared" si="9"/>
        <v>0.18478260869565216</v>
      </c>
      <c r="Z21" s="31">
        <f t="shared" si="9"/>
        <v>0.20108063175394847</v>
      </c>
      <c r="AA21" s="31">
        <f t="shared" si="9"/>
        <v>0.21187502372726927</v>
      </c>
      <c r="AC21" s="43" t="s">
        <v>168</v>
      </c>
      <c r="AD21" s="18" t="s">
        <v>165</v>
      </c>
      <c r="AE21" s="19" t="s">
        <v>167</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C22" s="17">
        <f>SUM(W29:AA29)/5</f>
        <v>0.53464431989700145</v>
      </c>
      <c r="AD22" s="35">
        <f>(-1*V98)/AD102</f>
        <v>0</v>
      </c>
      <c r="AE22" s="36">
        <f>W107/AD102</f>
        <v>8.7617461216202962E-3</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29">
        <v>1053000000</v>
      </c>
      <c r="X28" s="29">
        <v>1458000000</v>
      </c>
      <c r="Y28" s="29">
        <v>1923000000</v>
      </c>
      <c r="Z28" s="29">
        <v>2719000000</v>
      </c>
      <c r="AA28" s="29">
        <v>3728000000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1.1846473029045641</v>
      </c>
      <c r="X29" s="16">
        <f t="shared" ref="X29" si="12">(X28/W28)-1</f>
        <v>0.38461538461538458</v>
      </c>
      <c r="Y29" s="16">
        <f t="shared" ref="Y29" si="13">(Y28/X28)-1</f>
        <v>0.31893004115226331</v>
      </c>
      <c r="Z29" s="16">
        <f t="shared" ref="Z29" si="14">(Z28/Y28)-1</f>
        <v>0.4139365574622984</v>
      </c>
      <c r="AA29" s="16">
        <f t="shared" ref="AA29" si="15">(AA28/Z28)-1</f>
        <v>0.37109231335049642</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28">
        <f t="shared" ref="W30:AA30" si="16">W28/W3</f>
        <v>7.5919250180245132E-2</v>
      </c>
      <c r="X30" s="28">
        <f t="shared" si="16"/>
        <v>8.6492258408969569E-2</v>
      </c>
      <c r="Y30" s="28">
        <f t="shared" si="16"/>
        <v>9.5009881422924908E-2</v>
      </c>
      <c r="Z30" s="28">
        <f t="shared" si="16"/>
        <v>0.1130091438071488</v>
      </c>
      <c r="AA30" s="28">
        <f t="shared" si="16"/>
        <v>0.14152841577768499</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0">
        <v>21.02</v>
      </c>
      <c r="X31" s="30">
        <v>29.11</v>
      </c>
      <c r="Y31" s="30">
        <v>38.39</v>
      </c>
      <c r="Z31" s="30">
        <v>54.27</v>
      </c>
      <c r="AA31" s="30">
        <v>74.42</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3"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c r="W33" s="1" cm="1">
        <f t="array" ref="W33">_FV(A1,"Shares outstanding",TRUE)</f>
        <v>50092670</v>
      </c>
    </row>
    <row r="34" spans="1:23"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c r="W34" s="1" cm="1">
        <f t="array" ref="W34">_FV(A1,"Shares outstanding",TRUE)</f>
        <v>50092670</v>
      </c>
    </row>
    <row r="35" spans="1:23" ht="20" customHeight="1" x14ac:dyDescent="0.25">
      <c r="A35" s="14" t="s">
        <v>102</v>
      </c>
      <c r="B35" s="1"/>
      <c r="C35" s="22">
        <f>(C34-B34)/B34</f>
        <v>-0.2651752839320935</v>
      </c>
      <c r="D35" s="22">
        <f t="shared" ref="D35:W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c r="W35" s="22">
        <f t="shared" si="17"/>
        <v>9.9907541071356173E-3</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3"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3"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3"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3"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3"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3"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3"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3"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3"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3"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3"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row>
    <row r="84" spans="1:30" ht="19" customHeight="1"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W84" s="44"/>
      <c r="X84" s="44"/>
      <c r="Y84" s="44"/>
      <c r="Z84" s="44"/>
      <c r="AA84" s="44"/>
      <c r="AB84" s="44"/>
      <c r="AC84" s="70" t="s">
        <v>125</v>
      </c>
      <c r="AD84" s="71"/>
    </row>
    <row r="85" spans="1:30" ht="19" customHeight="1"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W85" s="44"/>
      <c r="X85" s="44"/>
      <c r="Y85" s="44"/>
      <c r="Z85" s="44"/>
      <c r="AA85" s="44"/>
      <c r="AB85" s="44"/>
      <c r="AC85" s="73" t="s">
        <v>126</v>
      </c>
      <c r="AD85" s="73"/>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W86" s="44"/>
      <c r="X86" s="44"/>
      <c r="Y86" s="44"/>
      <c r="Z86" s="44"/>
      <c r="AA86" s="44"/>
      <c r="AB86" s="44"/>
      <c r="AC86" s="37" t="s">
        <v>127</v>
      </c>
      <c r="AD86" s="45">
        <f>V17</f>
        <v>321000000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W87" s="44"/>
      <c r="X87" s="44"/>
      <c r="Y87" s="44"/>
      <c r="Z87" s="44"/>
      <c r="AA87" s="44"/>
      <c r="AB87" s="44"/>
      <c r="AC87" s="37" t="s">
        <v>128</v>
      </c>
      <c r="AD87" s="45">
        <f>V56</f>
        <v>142000000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W88" s="44"/>
      <c r="X88" s="44"/>
      <c r="Y88" s="44"/>
      <c r="Z88" s="44"/>
      <c r="AA88" s="44"/>
      <c r="AB88" s="44"/>
      <c r="AC88" s="37" t="s">
        <v>129</v>
      </c>
      <c r="AD88" s="45">
        <f>V61</f>
        <v>514000000</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W89" s="44"/>
      <c r="X89" s="44"/>
      <c r="Y89" s="44"/>
      <c r="Z89" s="44"/>
      <c r="AA89" s="44"/>
      <c r="AB89" s="44"/>
      <c r="AC89" s="38" t="s">
        <v>130</v>
      </c>
      <c r="AD89" s="46">
        <f>AD86/(AD87+AD88)</f>
        <v>0.48932926829268292</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W90" s="44"/>
      <c r="X90" s="44"/>
      <c r="Y90" s="44"/>
      <c r="Z90" s="44"/>
      <c r="AA90" s="44"/>
      <c r="AB90" s="44"/>
      <c r="AC90" s="37" t="s">
        <v>105</v>
      </c>
      <c r="AD90" s="45">
        <f>V27</f>
        <v>298000000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W91" s="44"/>
      <c r="X91" s="44"/>
      <c r="Y91" s="44"/>
      <c r="Z91" s="44"/>
      <c r="AA91" s="44"/>
      <c r="AB91" s="44"/>
      <c r="AC91" s="37" t="s">
        <v>19</v>
      </c>
      <c r="AD91" s="45">
        <f>V25</f>
        <v>780000000</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W92" s="44"/>
      <c r="X92" s="44"/>
      <c r="Y92" s="44"/>
      <c r="Z92" s="44"/>
      <c r="AA92" s="44"/>
      <c r="AB92" s="44"/>
      <c r="AC92" s="38" t="s">
        <v>131</v>
      </c>
      <c r="AD92" s="46">
        <f>AD90/AD91</f>
        <v>0.38205128205128203</v>
      </c>
    </row>
    <row r="93" spans="1:30" ht="19" customHeight="1"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W93" s="44"/>
      <c r="X93" s="44"/>
      <c r="Y93" s="44"/>
      <c r="Z93" s="44"/>
      <c r="AA93" s="44"/>
      <c r="AB93" s="44"/>
      <c r="AC93" s="38" t="s">
        <v>132</v>
      </c>
      <c r="AD93" s="46">
        <f>AD89*(1-AD92)</f>
        <v>0.30238039399624767</v>
      </c>
    </row>
    <row r="94" spans="1:30" ht="19" customHeight="1"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W94" s="44"/>
      <c r="X94" s="44"/>
      <c r="Y94" s="44"/>
      <c r="Z94" s="44"/>
      <c r="AA94" s="44"/>
      <c r="AB94" s="44"/>
      <c r="AC94" s="73" t="s">
        <v>133</v>
      </c>
      <c r="AD94" s="73"/>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W95" s="44"/>
      <c r="X95" s="44"/>
      <c r="Y95" s="44"/>
      <c r="Z95" s="44"/>
      <c r="AA95" s="44"/>
      <c r="AB95" s="44"/>
      <c r="AC95" s="37" t="s">
        <v>134</v>
      </c>
      <c r="AD95" s="68">
        <f>'[1]US Treasury Bonds'!$C$8</f>
        <v>4.6689999999999995E-2</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W96" s="44"/>
      <c r="X96" s="44"/>
      <c r="Y96" s="44"/>
      <c r="Z96" s="44"/>
      <c r="AA96" s="44"/>
      <c r="AB96" s="44"/>
      <c r="AC96" s="37" t="s">
        <v>135</v>
      </c>
      <c r="AD96" s="48" cm="1">
        <f t="array" ref="AD96">_FV(A1,"Beta")</f>
        <v>1.5397000000000001</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W97" s="44"/>
      <c r="X97" s="44"/>
      <c r="Y97" s="44"/>
      <c r="Z97" s="44"/>
      <c r="AA97" s="44"/>
      <c r="AB97" s="44"/>
      <c r="AC97" s="37" t="s">
        <v>136</v>
      </c>
      <c r="AD97" s="47">
        <v>8.4000000000000005E-2</v>
      </c>
    </row>
    <row r="98" spans="1:30" ht="19" customHeight="1"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W98" s="44"/>
      <c r="X98" s="44"/>
      <c r="Y98" s="44"/>
      <c r="Z98" s="44"/>
      <c r="AA98" s="44"/>
      <c r="AB98" s="44"/>
      <c r="AC98" s="38" t="s">
        <v>137</v>
      </c>
      <c r="AD98" s="46">
        <f>(AD95)+((AD96)*(AD97-AD95))</f>
        <v>0.10413620700000001</v>
      </c>
    </row>
    <row r="99" spans="1:30" ht="19" customHeight="1"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W99" s="44"/>
      <c r="X99" s="44"/>
      <c r="Y99" s="44"/>
      <c r="Z99" s="44"/>
      <c r="AA99" s="44"/>
      <c r="AB99" s="44"/>
      <c r="AC99" s="73" t="s">
        <v>138</v>
      </c>
      <c r="AD99" s="73"/>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W100" s="44"/>
      <c r="X100" s="44"/>
      <c r="Y100" s="44"/>
      <c r="Z100" s="44"/>
      <c r="AA100" s="44"/>
      <c r="AB100" s="44"/>
      <c r="AC100" s="37" t="s">
        <v>139</v>
      </c>
      <c r="AD100" s="45">
        <f>AD87+AD88</f>
        <v>656000000</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W101" s="44"/>
      <c r="X101" s="44"/>
      <c r="Y101" s="44"/>
      <c r="Z101" s="44"/>
      <c r="AA101" s="44"/>
      <c r="AB101" s="44"/>
      <c r="AC101" s="38" t="s">
        <v>140</v>
      </c>
      <c r="AD101" s="46">
        <f>AD100/AD104</f>
        <v>9.3481774507431486E-3</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W102" s="44"/>
      <c r="X102" s="44"/>
      <c r="Y102" s="44"/>
      <c r="Z102" s="44"/>
      <c r="AA102" s="44"/>
      <c r="AB102" s="44"/>
      <c r="AC102" s="37" t="s">
        <v>141</v>
      </c>
      <c r="AD102" s="49" cm="1">
        <f t="array" ref="AD102">_FV(A1,"Market cap",TRUE)</f>
        <v>69518106499</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W103" s="44"/>
      <c r="X103" s="44"/>
      <c r="Y103" s="44"/>
      <c r="Z103" s="44"/>
      <c r="AA103" s="44"/>
      <c r="AB103" s="44"/>
      <c r="AC103" s="38" t="s">
        <v>142</v>
      </c>
      <c r="AD103" s="46">
        <f>AD102/AD104</f>
        <v>0.99065182254925688</v>
      </c>
    </row>
    <row r="104" spans="1:30" ht="20" customHeight="1"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W104" s="74" t="s">
        <v>163</v>
      </c>
      <c r="X104" s="74"/>
      <c r="Y104" s="74"/>
      <c r="Z104" s="74"/>
      <c r="AA104" s="74"/>
      <c r="AB104" s="44"/>
      <c r="AC104" s="38" t="s">
        <v>143</v>
      </c>
      <c r="AD104" s="50">
        <f>AD100+AD102</f>
        <v>70174106499</v>
      </c>
    </row>
    <row r="105" spans="1:30" ht="21" customHeight="1" thickTop="1" x14ac:dyDescent="0.25">
      <c r="A105" s="14" t="s">
        <v>162</v>
      </c>
      <c r="B105" s="1" t="e">
        <f t="shared" ref="B105" si="20">(B22*(1-J91))+B77+B88+B81</f>
        <v>#VALUE!</v>
      </c>
      <c r="C105" s="1" t="e">
        <f t="shared" ref="C105:V105" si="21">(C22*(1-$AD$92))+C77+C88+C81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 t="shared" si="21"/>
        <v>2738958974.3589745</v>
      </c>
      <c r="W105" s="51">
        <f>V105*(1+$AD$107)</f>
        <v>3295460001.9850879</v>
      </c>
      <c r="X105" s="51">
        <f>W105*(1+$AD$107)</f>
        <v>3965030774.9590306</v>
      </c>
      <c r="Y105" s="51">
        <f>X105*(1+$AD$107)</f>
        <v>4770644777.0272017</v>
      </c>
      <c r="Z105" s="51">
        <f>Y105*(1+$AD$107)</f>
        <v>5739943238.8547049</v>
      </c>
      <c r="AA105" s="51">
        <f>Z105*(1+$AD$107)</f>
        <v>6906183529.7249966</v>
      </c>
      <c r="AB105" s="69" t="s">
        <v>166</v>
      </c>
      <c r="AC105" s="73" t="s">
        <v>144</v>
      </c>
      <c r="AD105" s="73"/>
    </row>
    <row r="106" spans="1:30" ht="20" x14ac:dyDescent="0.25">
      <c r="A106" s="14" t="s">
        <v>106</v>
      </c>
      <c r="B106" s="1"/>
      <c r="C106" s="15" t="e">
        <f t="shared" ref="C106:V106" si="22">(C107/B107)-1</f>
        <v>#VALUE!</v>
      </c>
      <c r="D106" s="15" t="e">
        <f t="shared" si="22"/>
        <v>#VALUE!</v>
      </c>
      <c r="E106" s="15" t="e">
        <f t="shared" si="22"/>
        <v>#VALUE!</v>
      </c>
      <c r="F106" s="15">
        <f t="shared" si="22"/>
        <v>1.5902590026087848</v>
      </c>
      <c r="G106" s="15">
        <f t="shared" si="22"/>
        <v>-1.0610499473136414E-2</v>
      </c>
      <c r="H106" s="15">
        <f t="shared" si="22"/>
        <v>12.492140183106386</v>
      </c>
      <c r="I106" s="15">
        <f t="shared" si="22"/>
        <v>-9.3513698556096148E-2</v>
      </c>
      <c r="J106" s="15">
        <f t="shared" si="22"/>
        <v>0.20732851126869334</v>
      </c>
      <c r="K106" s="15">
        <f t="shared" si="22"/>
        <v>0.29401127336547628</v>
      </c>
      <c r="L106" s="15">
        <f t="shared" si="22"/>
        <v>0.73386021547700619</v>
      </c>
      <c r="M106" s="15">
        <f t="shared" si="22"/>
        <v>-0.7675704618635687</v>
      </c>
      <c r="N106" s="15">
        <f t="shared" si="22"/>
        <v>4.7072840158859375</v>
      </c>
      <c r="O106" s="15">
        <f t="shared" si="22"/>
        <v>-2.7344242687957543E-2</v>
      </c>
      <c r="P106" s="15">
        <f t="shared" si="22"/>
        <v>-0.28139203279565106</v>
      </c>
      <c r="Q106" s="15">
        <f t="shared" si="22"/>
        <v>0.71961838620237573</v>
      </c>
      <c r="R106" s="15">
        <f t="shared" si="22"/>
        <v>-0.31408981795328805</v>
      </c>
      <c r="S106" s="15">
        <f t="shared" si="22"/>
        <v>1.3598491960376409</v>
      </c>
      <c r="T106" s="15">
        <f t="shared" si="22"/>
        <v>1.9769207023082482</v>
      </c>
      <c r="U106" s="15">
        <f t="shared" si="22"/>
        <v>-0.61990290898866918</v>
      </c>
      <c r="V106" s="15">
        <f t="shared" si="22"/>
        <v>5.9920432460406081</v>
      </c>
      <c r="W106" s="53">
        <f>(W107/V107)-1</f>
        <v>-0.7549879324215607</v>
      </c>
      <c r="X106" s="53">
        <f>(X107/W107)-1</f>
        <v>0.42669512395337383</v>
      </c>
      <c r="Y106" s="53">
        <f>(Y107/X107)-1</f>
        <v>0.40736478711162261</v>
      </c>
      <c r="Z106" s="53">
        <f>(Z107/Y107)-1</f>
        <v>0.51022076860179877</v>
      </c>
      <c r="AA106" s="53">
        <f>(AA107/Z107)-1</f>
        <v>0.18624796968056301</v>
      </c>
      <c r="AB106" s="54">
        <f>SUM(W106:AA106)/5</f>
        <v>0.15510814338515949</v>
      </c>
      <c r="AC106" s="39" t="s">
        <v>107</v>
      </c>
      <c r="AD106" s="55">
        <f>(AD101*AD93)+(AD103*AD98)</f>
        <v>0.10598942883861924</v>
      </c>
    </row>
    <row r="107" spans="1:30" ht="19" x14ac:dyDescent="0.25">
      <c r="A107" s="34"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56">
        <v>609100000</v>
      </c>
      <c r="X107" s="56">
        <v>869000000</v>
      </c>
      <c r="Y107" s="56">
        <v>1223000000</v>
      </c>
      <c r="Z107" s="56">
        <v>1847000000</v>
      </c>
      <c r="AA107" s="56">
        <v>2191000000</v>
      </c>
      <c r="AB107" s="52" t="s">
        <v>164</v>
      </c>
      <c r="AC107" s="57" t="s">
        <v>145</v>
      </c>
      <c r="AD107" s="40">
        <f>(SUM(W4:AA4)/5)</f>
        <v>0.20317976020665185</v>
      </c>
    </row>
    <row r="108" spans="1:30" ht="19" x14ac:dyDescent="0.2">
      <c r="W108" s="52"/>
      <c r="X108" s="52"/>
      <c r="Y108" s="52"/>
      <c r="Z108" s="52"/>
      <c r="AA108" s="49">
        <f>AA105*(1+AD108)/(AD109-AD108)</f>
        <v>87404470181.82486</v>
      </c>
      <c r="AB108" s="58" t="s">
        <v>146</v>
      </c>
      <c r="AC108" s="59" t="s">
        <v>147</v>
      </c>
      <c r="AD108" s="41">
        <v>2.5000000000000001E-2</v>
      </c>
    </row>
    <row r="109" spans="1:30" ht="19" x14ac:dyDescent="0.2">
      <c r="W109" s="49">
        <f>W108+W105</f>
        <v>3295460001.9850879</v>
      </c>
      <c r="X109" s="49">
        <f>X108+X105</f>
        <v>3965030774.9590306</v>
      </c>
      <c r="Y109" s="49">
        <f>Y108+Y105</f>
        <v>4770644777.0272017</v>
      </c>
      <c r="Z109" s="49">
        <f>Z108+Z105</f>
        <v>5739943238.8547049</v>
      </c>
      <c r="AA109" s="49">
        <f>AA108+AA105</f>
        <v>94310653711.54985</v>
      </c>
      <c r="AB109" s="58" t="s">
        <v>143</v>
      </c>
      <c r="AC109" s="60" t="s">
        <v>148</v>
      </c>
      <c r="AD109" s="40">
        <f>AD106</f>
        <v>0.10598942883861924</v>
      </c>
    </row>
    <row r="110" spans="1:30" ht="19" x14ac:dyDescent="0.2">
      <c r="W110" s="72" t="s">
        <v>149</v>
      </c>
      <c r="X110" s="72"/>
      <c r="Y110" s="44"/>
      <c r="Z110" s="44"/>
      <c r="AA110" s="44"/>
      <c r="AB110" s="44"/>
      <c r="AC110" s="44"/>
      <c r="AD110" s="44"/>
    </row>
    <row r="111" spans="1:30" ht="20" x14ac:dyDescent="0.2">
      <c r="W111" s="61" t="s">
        <v>150</v>
      </c>
      <c r="X111" s="49">
        <f>NPV(AD109,W109,X109,Y109,Z109,AA109)</f>
        <v>70574646822.575256</v>
      </c>
      <c r="Y111" s="44"/>
      <c r="Z111" s="44"/>
      <c r="AA111" s="44"/>
      <c r="AB111" s="44"/>
      <c r="AC111" s="44"/>
      <c r="AD111" s="44"/>
    </row>
    <row r="112" spans="1:30" ht="20" x14ac:dyDescent="0.2">
      <c r="W112" s="61" t="s">
        <v>151</v>
      </c>
      <c r="X112" s="49">
        <f>V40</f>
        <v>4249000000</v>
      </c>
      <c r="Y112" s="44"/>
      <c r="Z112" s="44"/>
      <c r="AA112" s="44"/>
      <c r="AB112" s="44"/>
      <c r="AC112" s="44"/>
      <c r="AD112" s="44"/>
    </row>
    <row r="113" spans="23:30" ht="20" x14ac:dyDescent="0.2">
      <c r="W113" s="61" t="s">
        <v>139</v>
      </c>
      <c r="X113" s="49">
        <f>AD100</f>
        <v>656000000</v>
      </c>
      <c r="Y113" s="44"/>
      <c r="Z113" s="44"/>
      <c r="AA113" s="44"/>
      <c r="AB113" s="44"/>
      <c r="AC113" s="44"/>
      <c r="AD113" s="44"/>
    </row>
    <row r="114" spans="23:30" ht="20" x14ac:dyDescent="0.2">
      <c r="W114" s="61" t="s">
        <v>152</v>
      </c>
      <c r="X114" s="49">
        <f>X111+X112-X113</f>
        <v>74167646822.575256</v>
      </c>
      <c r="Y114" s="44"/>
      <c r="Z114" s="44"/>
      <c r="AA114" s="44"/>
      <c r="AB114" s="44"/>
      <c r="AC114" s="44"/>
      <c r="AD114" s="44"/>
    </row>
    <row r="115" spans="23:30" ht="20" x14ac:dyDescent="0.2">
      <c r="W115" s="61" t="s">
        <v>153</v>
      </c>
      <c r="X115" s="61">
        <f>V34*(1+(5*AB16))</f>
        <v>55576462.481717423</v>
      </c>
      <c r="Y115" s="44"/>
      <c r="Z115" s="44"/>
      <c r="AA115" s="44"/>
      <c r="AB115" s="44"/>
      <c r="AC115" s="44"/>
      <c r="AD115" s="44"/>
    </row>
    <row r="116" spans="23:30" ht="20" x14ac:dyDescent="0.2">
      <c r="W116" s="62" t="s">
        <v>154</v>
      </c>
      <c r="X116" s="63">
        <f>X114/X115</f>
        <v>1334.5154317256813</v>
      </c>
      <c r="Y116" s="44"/>
      <c r="Z116" s="44"/>
      <c r="AA116" s="44"/>
      <c r="AB116" s="44"/>
      <c r="AC116" s="44"/>
      <c r="AD116" s="44"/>
    </row>
    <row r="117" spans="23:30" ht="20" x14ac:dyDescent="0.2">
      <c r="W117" s="61" t="s">
        <v>155</v>
      </c>
      <c r="X117" s="64" cm="1">
        <f t="array" ref="X117">_FV(A1,"Price")</f>
        <v>1387.79</v>
      </c>
      <c r="Y117" s="44"/>
      <c r="Z117" s="44"/>
      <c r="AA117" s="44"/>
      <c r="AB117" s="44"/>
      <c r="AC117" s="44"/>
      <c r="AD117" s="44"/>
    </row>
    <row r="118" spans="23:30" ht="20" x14ac:dyDescent="0.2">
      <c r="W118" s="62" t="s">
        <v>156</v>
      </c>
      <c r="X118" s="65">
        <f>X116/X117-1</f>
        <v>-3.8388061791999273E-2</v>
      </c>
      <c r="Y118" s="44"/>
      <c r="Z118" s="44"/>
      <c r="AA118" s="44"/>
      <c r="AB118" s="44"/>
      <c r="AC118" s="44"/>
      <c r="AD118" s="44"/>
    </row>
    <row r="119" spans="23:30" ht="20" x14ac:dyDescent="0.2">
      <c r="W119" s="62" t="s">
        <v>157</v>
      </c>
      <c r="X119" s="66" t="str">
        <f>IF(X116&gt;X117,"BUY","SELL")</f>
        <v>SELL</v>
      </c>
      <c r="Y119" s="44"/>
      <c r="Z119" s="44"/>
      <c r="AA119" s="44"/>
      <c r="AB119" s="44"/>
      <c r="AC119" s="44"/>
      <c r="AD119" s="44"/>
    </row>
  </sheetData>
  <mergeCells count="7">
    <mergeCell ref="AC84:AD84"/>
    <mergeCell ref="W110:X110"/>
    <mergeCell ref="AC105:AD105"/>
    <mergeCell ref="AC99:AD99"/>
    <mergeCell ref="AC94:AD94"/>
    <mergeCell ref="AC85:AD85"/>
    <mergeCell ref="W104:AA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7"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2023-03-13T10:27:55Z</dcterms:created>
  <dcterms:modified xsi:type="dcterms:W3CDTF">2023-11-05T06:43:15Z</dcterms:modified>
</cp:coreProperties>
</file>