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6D6E201-39FC-8D48-BE72-258DCF30027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5" i="1" l="1"/>
  <c r="I106" i="1"/>
  <c r="P22" i="1"/>
  <c r="J106" i="1"/>
  <c r="R7" i="1"/>
  <c r="O7" i="1"/>
  <c r="J6" i="1"/>
  <c r="J33" i="1" a="1"/>
  <c r="J33" i="1" s="1"/>
  <c r="J34" i="1" a="1"/>
  <c r="J34" i="1" s="1"/>
  <c r="N31" i="1" s="1"/>
  <c r="N106" i="1"/>
  <c r="M106" i="1"/>
  <c r="L106" i="1"/>
  <c r="K106" i="1"/>
  <c r="J35" i="1" l="1"/>
  <c r="O16" i="1" s="1"/>
  <c r="O106" i="1"/>
  <c r="H105" i="1" l="1"/>
  <c r="I105" i="1"/>
  <c r="J109" i="1" l="1"/>
  <c r="K109" i="1"/>
  <c r="L109" i="1"/>
  <c r="M109" i="1"/>
  <c r="K117" i="1" a="1"/>
  <c r="K117" i="1" s="1"/>
  <c r="B105" i="1"/>
  <c r="C105" i="1"/>
  <c r="D105" i="1"/>
  <c r="E105" i="1"/>
  <c r="F105" i="1"/>
  <c r="G105" i="1"/>
  <c r="K30" i="1" l="1"/>
  <c r="L30" i="1"/>
  <c r="M30" i="1"/>
  <c r="N30" i="1"/>
  <c r="J30" i="1"/>
  <c r="Q7" i="1" s="1"/>
  <c r="J29" i="1"/>
  <c r="K29" i="1"/>
  <c r="L29" i="1"/>
  <c r="M29" i="1"/>
  <c r="N29" i="1"/>
  <c r="J20" i="1"/>
  <c r="K20" i="1"/>
  <c r="L20" i="1"/>
  <c r="M20" i="1"/>
  <c r="N20" i="1"/>
  <c r="J21" i="1"/>
  <c r="P7" i="1" s="1"/>
  <c r="K21" i="1"/>
  <c r="L21" i="1"/>
  <c r="M21" i="1"/>
  <c r="N21" i="1"/>
  <c r="Q102" i="1" a="1"/>
  <c r="Q102" i="1" s="1"/>
  <c r="R22" i="1" s="1"/>
  <c r="Q96" i="1" a="1"/>
  <c r="Q96" i="1" s="1"/>
  <c r="K112" i="1"/>
  <c r="Q91" i="1"/>
  <c r="Q90" i="1"/>
  <c r="Q92" i="1"/>
  <c r="Q88" i="1"/>
  <c r="Q87" i="1"/>
  <c r="Q100" i="1"/>
  <c r="K113" i="1" s="1"/>
  <c r="Q86" i="1"/>
  <c r="Q89" i="1"/>
  <c r="Q93" i="1" s="1"/>
  <c r="O19" i="1"/>
  <c r="R13" i="1"/>
  <c r="Q13" i="1"/>
  <c r="P13" i="1"/>
  <c r="O13" i="1"/>
  <c r="R10" i="1"/>
  <c r="Q10" i="1"/>
  <c r="P10" i="1"/>
  <c r="O10" i="1"/>
  <c r="Q4" i="1"/>
  <c r="P4" i="1"/>
  <c r="O4" i="1"/>
  <c r="I21" i="1"/>
  <c r="I20" i="1"/>
  <c r="I29" i="1"/>
  <c r="R4" i="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Q22" i="1"/>
  <c r="Q19" i="1"/>
  <c r="Q107" i="1"/>
  <c r="J105" i="1" s="1"/>
  <c r="K105" i="1" s="1"/>
  <c r="L105" i="1" s="1"/>
  <c r="M105" i="1" s="1"/>
  <c r="N105" i="1" s="1"/>
  <c r="R16" i="1"/>
  <c r="Q16" i="1"/>
  <c r="P16" i="1"/>
  <c r="Q104" i="1"/>
  <c r="Q101" i="1" s="1"/>
  <c r="R19" i="1" l="1"/>
  <c r="Q103" i="1"/>
  <c r="Q95" i="1" l="1"/>
  <c r="Q98" i="1" s="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<sst xmlns="http://schemas.openxmlformats.org/spreadsheetml/2006/main" count="311" uniqueCount="170">
  <si>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</si>
  <si>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</si>
  <si>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</si>
  <si>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</si>
  <si>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</si>
  <si>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</si>
  <si>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</si>
  <si>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</si>
  <si>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</si>
  <si>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</si>
  <si>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</si>
  <si>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</si>
  <si>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</si>
  <si>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</si>
  <si>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</si>
  <si>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</si>
  <si>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</si>
  <si>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</si>
  <si>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</si>
  <si>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</si>
  <si>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</si>
  <si>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</si>
  <si>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</si>
  <si>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</si>
  <si>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</si>
  <si>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</si>
  <si>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</si>
  <si>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</si>
  <si>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</si>
  <si>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</si>
  <si>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</si>
  <si>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</si>
  <si>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</si>
  <si>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</si>
  <si>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</si>
  <si>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</si>
  <si>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</si>
  <si>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</si>
  <si>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</si>
  <si>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</si>
  <si>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</si>
  <si>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</si>
  <si>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</si>
  <si>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</si>
  <si>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</si>
  <si>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</si>
  <si>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</si>
  <si>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</si>
  <si>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</si>
  <si>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</si>
  <si>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</si>
  <si>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</si>
  <si>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</si>
  <si>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</si>
  <si>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</si>
  <si>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</si>
  <si>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</si>
  <si>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</si>
  <si>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</si>
  <si>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</si>
  <si>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</si>
  <si>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</si>
  <si>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</si>
  <si>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</si>
  <si>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</si>
  <si>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</si>
  <si>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</si>
  <si>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</si>
  <si>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</si>
  <si>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</si>
  <si>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</si>
  <si>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</si>
  <si>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</si>
  <si>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</si>
  <si>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</si>
  <si>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</si>
  <si>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</si>
  <si>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</si>
  <si>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</si>
  <si>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</si>
  <si>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</si>
  <si>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</si>
  <si>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</si>
  <si>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</si>
  <si>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</si>
  <si>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</si>
  <si>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</si>
  <si>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</si>
  <si>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</si>
  <si>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</si>
  <si>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</si>
  <si>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</si>
  <si>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</si>
  <si>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</si>
  <si>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</si>
  <si>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</si>
  <si>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</si>
  <si>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</si>
  <si>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</si>
  <si>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</si>
  <si>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</si>
  <si>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</si>
  <si>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</si>
  <si>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</si>
  <si>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</si>
  <si>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</si>
  <si>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</si>
  <si>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</si>
  <si>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</si>
  <si>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</si>
  <si>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</si>
  <si>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</si>
  <si>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</si>
  <si>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</si>
  <si>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</si>
  <si>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</si>
  <si>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</si>
  <si>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</si>
  <si>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</si>
  <si>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</si>
  <si>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</si>
  <si>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</si>
  <si>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</si>
  <si>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</si>
  <si>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</si>
  <si>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</si>
  <si>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</si>
  <si>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</si>
  <si>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</si>
  <si>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</si>
  <si>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</si>
  <si>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</si>
  <si>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</si>
  <si>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</si>
  <si>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</si>
  <si>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</si>
  <si>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</si>
  <si>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</si>
  <si>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</si>
  <si>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</si>
  <si>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</si>
  <si>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</si>
  <si>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</si>
  <si>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</si>
  <si>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</si>
  <si>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</si>
  <si>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</si>
  <si>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</si>
  <si>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</si>
  <si>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</si>
  <si>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</si>
  <si>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</si>
  <si>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</si>
  <si>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</si>
  <si>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</si>
  <si>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</si>
  <si>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</si>
  <si>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</si>
  <si>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</si>
  <si>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</si>
  <si>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</si>
  <si>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</si>
  <si>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</si>
  <si>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</si>
  <si>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</si>
  <si>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t>
  </si>
  <si>
    <t>5Y Fwd FCF CAGR</t>
  </si>
  <si>
    <t>Forward FCF Yield</t>
  </si>
  <si>
    <t>4Y Fwd Income CAGR</t>
  </si>
  <si>
    <t>Shares (2%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</si>
</sst>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9">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8" fillId="3" borderId="7" xfId="0" applyFont="1" applyFill="1" applyBorder="1" applyAlignment="1">
      <alignment horizontal="center" vertical="center" wrapText="1"/>
    </xf>
    <xf numFmtId="10" fontId="10" fillId="6" borderId="0" xfId="0" applyNumberFormat="1" applyFont="1" applyFill="1" applyAlignment="1">
      <alignment vertical="center"/>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164" fontId="11" fillId="6" borderId="0" xfId="0" applyNumberFormat="1" applyFont="1" applyFill="1" applyAlignment="1">
      <alignment vertical="center"/>
    </xf>
    <xf numFmtId="164" fontId="9"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7"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7" fillId="7" borderId="0" xfId="0" applyFont="1" applyFill="1" applyAlignment="1">
      <alignment vertical="center" wrapText="1"/>
    </xf>
    <xf numFmtId="0" fontId="17"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8"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0" fillId="6" borderId="0" xfId="0" applyFill="1" applyAlignment="1">
      <alignment horizontal="center" vertical="center"/>
    </xf>
    <xf numFmtId="9" fontId="10" fillId="0" borderId="0" xfId="0" applyNumberFormat="1" applyFont="1"/>
    <xf numFmtId="0" fontId="15" fillId="4" borderId="0" xfId="0" applyFont="1" applyFill="1" applyAlignment="1">
      <alignment horizontal="center" vertical="center"/>
    </xf>
    <xf numFmtId="0" fontId="16"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0" fontId="1" fillId="6"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059581320450878E-2"/>
          <c:y val="0.14293597679588083"/>
          <c:w val="0.83795169082125609"/>
          <c:h val="0.6834641883215918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1'!$B$3:$N$3</c:f>
              <c:numCache>
                <c:formatCode>#,###,,;\(#,###,,\);\ \-\ \-</c:formatCode>
                <c:ptCount val="13"/>
                <c:pt idx="0">
                  <c:v>65271000</c:v>
                </c:pt>
                <c:pt idx="1">
                  <c:v>101358000</c:v>
                </c:pt>
                <c:pt idx="2">
                  <c:v>154519000</c:v>
                </c:pt>
                <c:pt idx="3">
                  <c:v>267016000</c:v>
                </c:pt>
                <c:pt idx="4">
                  <c:v>421720000</c:v>
                </c:pt>
                <c:pt idx="5">
                  <c:v>590380000</c:v>
                </c:pt>
                <c:pt idx="6">
                  <c:v>873782000</c:v>
                </c:pt>
                <c:pt idx="7">
                  <c:v>1284000000</c:v>
                </c:pt>
                <c:pt idx="8">
                  <c:v>1606000000</c:v>
                </c:pt>
                <c:pt idx="9">
                  <c:v>1949000000</c:v>
                </c:pt>
                <c:pt idx="10">
                  <c:v>2460000000</c:v>
                </c:pt>
                <c:pt idx="11">
                  <c:v>3150000000</c:v>
                </c:pt>
                <c:pt idx="12">
                  <c:v>4087000000</c:v>
                </c:pt>
              </c:numCache>
            </c:numRef>
          </c:val>
          <c:extLst>
            <c:ext xmlns:c16="http://schemas.microsoft.com/office/drawing/2014/chart" uri="{C3380CC4-5D6E-409C-BE32-E72D297353CC}">
              <c16:uniqueId val="{00000000-0353-1848-824C-54E3C38D91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1'!$B$28:$N$28</c:f>
              <c:numCache>
                <c:formatCode>#,###,,;\(#,###,,\);\ \-\ \-</c:formatCode>
                <c:ptCount val="13"/>
                <c:pt idx="0">
                  <c:v>-73486000</c:v>
                </c:pt>
                <c:pt idx="1">
                  <c:v>-86681000</c:v>
                </c:pt>
                <c:pt idx="2">
                  <c:v>-96359000</c:v>
                </c:pt>
                <c:pt idx="3">
                  <c:v>-99011000</c:v>
                </c:pt>
                <c:pt idx="4">
                  <c:v>-175522000</c:v>
                </c:pt>
                <c:pt idx="5">
                  <c:v>-266944000</c:v>
                </c:pt>
                <c:pt idx="6">
                  <c:v>-306866000</c:v>
                </c:pt>
                <c:pt idx="7">
                  <c:v>-345398000</c:v>
                </c:pt>
                <c:pt idx="8">
                  <c:v>193500000</c:v>
                </c:pt>
                <c:pt idx="9">
                  <c:v>236400000</c:v>
                </c:pt>
                <c:pt idx="10">
                  <c:v>362000000</c:v>
                </c:pt>
                <c:pt idx="11">
                  <c:v>481000000</c:v>
                </c:pt>
                <c:pt idx="12">
                  <c:v>813000000</c:v>
                </c:pt>
              </c:numCache>
            </c:numRef>
          </c:val>
          <c:extLst>
            <c:ext xmlns:c16="http://schemas.microsoft.com/office/drawing/2014/chart" uri="{C3380CC4-5D6E-409C-BE32-E72D297353CC}">
              <c16:uniqueId val="{00000001-0353-1848-824C-54E3C38D91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numCache>
            </c:numRef>
          </c:cat>
          <c:val>
            <c:numRef>
              <c:f>'Sheet 1'!$B$107:$N$107</c:f>
              <c:numCache>
                <c:formatCode>#,###,,;\(#,###,,\);\ \-\ \-</c:formatCode>
                <c:ptCount val="13"/>
                <c:pt idx="0">
                  <c:v>-47429000</c:v>
                </c:pt>
                <c:pt idx="1">
                  <c:v>-39761000</c:v>
                </c:pt>
                <c:pt idx="2">
                  <c:v>-47016000</c:v>
                </c:pt>
                <c:pt idx="3">
                  <c:v>-48837000</c:v>
                </c:pt>
                <c:pt idx="4">
                  <c:v>-33104000</c:v>
                </c:pt>
                <c:pt idx="5">
                  <c:v>-54446000</c:v>
                </c:pt>
                <c:pt idx="6">
                  <c:v>-1092000</c:v>
                </c:pt>
                <c:pt idx="7">
                  <c:v>-20214000</c:v>
                </c:pt>
                <c:pt idx="8">
                  <c:v>217000000</c:v>
                </c:pt>
                <c:pt idx="9">
                  <c:v>283000000</c:v>
                </c:pt>
                <c:pt idx="10">
                  <c:v>434000000</c:v>
                </c:pt>
                <c:pt idx="11">
                  <c:v>628000000</c:v>
                </c:pt>
                <c:pt idx="12">
                  <c:v>750000000</c:v>
                </c:pt>
              </c:numCache>
            </c:numRef>
          </c:val>
          <c:extLst>
            <c:ext xmlns:c16="http://schemas.microsoft.com/office/drawing/2014/chart" uri="{C3380CC4-5D6E-409C-BE32-E72D297353CC}">
              <c16:uniqueId val="{00000002-0353-1848-824C-54E3C38D9124}"/>
            </c:ext>
          </c:extLst>
        </c:ser>
        <c:dLbls>
          <c:showLegendKey val="0"/>
          <c:showVal val="0"/>
          <c:showCatName val="0"/>
          <c:showSerName val="0"/>
          <c:showPercent val="0"/>
          <c:showBubbleSize val="0"/>
        </c:dLbls>
        <c:gapWidth val="150"/>
        <c:overlap val="100"/>
        <c:axId val="71385791"/>
        <c:axId val="71387791"/>
      </c:barChart>
      <c:catAx>
        <c:axId val="713857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7791"/>
        <c:crosses val="autoZero"/>
        <c:auto val="1"/>
        <c:lblAlgn val="ctr"/>
        <c:lblOffset val="100"/>
        <c:noMultiLvlLbl val="0"/>
      </c:catAx>
      <c:valAx>
        <c:axId val="7138779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385791"/>
        <c:crosses val="autoZero"/>
        <c:crossBetween val="between"/>
      </c:valAx>
      <c:spPr>
        <a:noFill/>
        <a:ln>
          <a:noFill/>
        </a:ln>
        <a:effectLst/>
      </c:spPr>
    </c:plotArea>
    <c:legend>
      <c:legendPos val="b"/>
      <c:layout>
        <c:manualLayout>
          <c:xMode val="edge"/>
          <c:yMode val="edge"/>
          <c:x val="0.34972853031052276"/>
          <c:y val="0.88836967500716923"/>
          <c:w val="0.30569581700838122"/>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1635124</xdr:colOff>
      <xdr:row>109</xdr:row>
      <xdr:rowOff>17463</xdr:rowOff>
    </xdr:from>
    <xdr:to>
      <xdr:col>17</xdr:col>
      <xdr:colOff>47624</xdr:colOff>
      <xdr:row>128</xdr:row>
      <xdr:rowOff>15875</xdr:rowOff>
    </xdr:to>
    <xdr:graphicFrame macro="">
      <xdr:nvGraphicFramePr>
        <xdr:cNvPr id="3" name="Chart 2">
          <a:extLst>
            <a:ext uri="{FF2B5EF4-FFF2-40B4-BE49-F238E27FC236}">
              <a16:creationId xmlns:a16="http://schemas.microsoft.com/office/drawing/2014/main" id="{9EF9E0DC-F9AB-976A-8105-6565425A2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439</v>
    <v>135.15</v>
    <v>1.1580999999999999</v>
    <v>-10.02</v>
    <v>-2.9555999999999999E-2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347.47</v>
    <v>3</v>
    <v>Software &amp; IT Services</v>
    <v>Stock</v>
    <v>45232.999755392972</v>
    <v>4</v>
    <v>326.20999999999998</v>
    <v>23472379980</v>
    <v>MONGODB, INC.</v>
    <v>MONGODB, INC.</v>
    <v>347.47</v>
    <v>339.02</v>
    <v>329</v>
    <v>71344620</v>
    <v>MDB</v>
    <v>MONGODB, INC. (XNAS:MDB)</v>
    <v>380</v>
    <v>1033018</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spb>
    <spb s="5">
      <v>Delayed 15 minutes</v>
      <v>from previous close</v>
      <v>from previous close</v>
      <v>Source: Nasdaq</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95" activePane="bottomRight" state="frozen"/>
      <selection pane="topRight"/>
      <selection pane="bottomLeft"/>
      <selection pane="bottomRight" activeCell="I119" sqref="I119"/>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1606000000</v>
      </c>
      <c r="K3" s="24">
        <v>1949000000</v>
      </c>
      <c r="L3" s="24">
        <v>2460000000</v>
      </c>
      <c r="M3" s="24">
        <v>3150000000</v>
      </c>
      <c r="N3" s="24">
        <v>4087000000</v>
      </c>
      <c r="O3" s="20" t="s">
        <v>107</v>
      </c>
      <c r="P3" s="21" t="s">
        <v>108</v>
      </c>
      <c r="Q3" s="21" t="s">
        <v>109</v>
      </c>
      <c r="R3" s="21" t="s">
        <v>110</v>
      </c>
    </row>
    <row r="4" spans="1:38" ht="19">
      <c r="A4" s="14" t="s">
        <v>93</v>
      </c>
      <c r="B4" s="1"/>
      <c r="C4" s="75">
        <f>(C3/B3)-1</f>
        <v>0.55287953302385429</v>
      </c>
      <c r="D4" s="75">
        <f>(D3/C3)-1</f>
        <v>0.52448746028927173</v>
      </c>
      <c r="E4" s="75">
        <f>(E3/D3)-1</f>
        <v>0.72804638911719599</v>
      </c>
      <c r="F4" s="75">
        <f t="shared" ref="F4:N4" si="0">(F3/E3)-1</f>
        <v>0.57938101087575267</v>
      </c>
      <c r="G4" s="75">
        <f t="shared" si="0"/>
        <v>0.39993360523570143</v>
      </c>
      <c r="H4" s="75">
        <f t="shared" si="0"/>
        <v>0.48003319895660423</v>
      </c>
      <c r="I4" s="75">
        <f t="shared" si="0"/>
        <v>0.46947407934702245</v>
      </c>
      <c r="J4" s="16">
        <f t="shared" si="0"/>
        <v>0.25077881619937692</v>
      </c>
      <c r="K4" s="16">
        <f t="shared" si="0"/>
        <v>0.21357409713574094</v>
      </c>
      <c r="L4" s="16">
        <f t="shared" si="0"/>
        <v>0.26218573627501285</v>
      </c>
      <c r="M4" s="16">
        <f t="shared" si="0"/>
        <v>0.28048780487804881</v>
      </c>
      <c r="N4" s="16">
        <f t="shared" si="0"/>
        <v>0.29746031746031742</v>
      </c>
      <c r="O4" s="17">
        <f>(I4+H4+G4)/3</f>
        <v>0.44981362784644269</v>
      </c>
      <c r="P4" s="17">
        <f>(I20+H20+G20)/3</f>
        <v>-8.910322427350148E-2</v>
      </c>
      <c r="Q4" s="17">
        <f>(I29+H29+G29)/3</f>
        <v>0.26532531940550536</v>
      </c>
      <c r="R4" s="17">
        <f>(I106+H106+G106)/3</f>
        <v>-2.6328360849996641E-2</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J6" s="34">
        <f>J3*J7</f>
        <v>1206748400</v>
      </c>
      <c r="O6" s="72" t="s">
        <v>111</v>
      </c>
      <c r="P6" s="73" t="s">
        <v>112</v>
      </c>
      <c r="Q6" s="73" t="s">
        <v>113</v>
      </c>
      <c r="R6" s="73"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J7" s="2">
        <v>0.75139999999999996</v>
      </c>
      <c r="O7" s="17">
        <f>J7</f>
        <v>0.75139999999999996</v>
      </c>
      <c r="P7" s="18">
        <f>J21</f>
        <v>0.13032378580323786</v>
      </c>
      <c r="Q7" s="18">
        <f>J30</f>
        <v>0.12048567870485678</v>
      </c>
      <c r="R7" s="18">
        <f>J107/J3</f>
        <v>0.13511830635118308</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0">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SUM(F35:J35)/5</f>
        <v>6.5663481616443906E-2</v>
      </c>
      <c r="P16" s="28">
        <f>Q102/I3</f>
        <v>18.280669766355139</v>
      </c>
      <c r="Q16" s="28">
        <f>Q102/I28</f>
        <v>-67.957486667554534</v>
      </c>
      <c r="R16" s="29">
        <f>Q102/I107</f>
        <v>-1161.1942208370435</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4">
        <v>209300000</v>
      </c>
      <c r="K19" s="34">
        <v>283000000</v>
      </c>
      <c r="L19" s="34">
        <v>435200000</v>
      </c>
      <c r="M19" s="34">
        <v>520000000</v>
      </c>
      <c r="N19" s="34">
        <v>650000000</v>
      </c>
      <c r="O19" s="27">
        <f>I40-I56-I61</f>
        <v>620051000</v>
      </c>
      <c r="P19" s="31">
        <f>Q102/J3</f>
        <v>14.615429626400996</v>
      </c>
      <c r="Q19" s="28">
        <f>Q102/J28</f>
        <v>121.30428930232559</v>
      </c>
      <c r="R19" s="29">
        <f>Q102/J105</f>
        <v>-76.350768072041092</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3.1112573415309672</v>
      </c>
      <c r="K20" s="16">
        <f t="shared" ref="K20" si="6">(K19/J19)-1</f>
        <v>0.35212613473483034</v>
      </c>
      <c r="L20" s="16">
        <f t="shared" ref="L20" si="7">(L19/K19)-1</f>
        <v>0.53780918727915195</v>
      </c>
      <c r="M20" s="16">
        <f t="shared" ref="M20" si="8">(M19/L19)-1</f>
        <v>0.19485294117647056</v>
      </c>
      <c r="N20" s="16">
        <f t="shared" ref="N20" si="9">(N19/M19)-1</f>
        <v>0.25</v>
      </c>
    </row>
    <row r="21" spans="1:18" ht="20">
      <c r="A21" s="5" t="s">
        <v>15</v>
      </c>
      <c r="B21" s="2">
        <v>-1.0565</v>
      </c>
      <c r="C21" s="2">
        <v>-0.81100000000000005</v>
      </c>
      <c r="D21" s="2">
        <v>-0.59130000000000005</v>
      </c>
      <c r="E21" s="2">
        <v>-0.32300000000000001</v>
      </c>
      <c r="F21" s="2">
        <v>-0.3211</v>
      </c>
      <c r="G21" s="2">
        <v>-0.30840000000000001</v>
      </c>
      <c r="H21" s="2">
        <v>-0.32640000000000002</v>
      </c>
      <c r="I21" s="33">
        <f>I19/I3</f>
        <v>3.9648753894080999E-2</v>
      </c>
      <c r="J21" s="35">
        <f t="shared" ref="J21:N21" si="10">J19/J3</f>
        <v>0.13032378580323786</v>
      </c>
      <c r="K21" s="35">
        <f t="shared" si="10"/>
        <v>0.14520266803488968</v>
      </c>
      <c r="L21" s="35">
        <f t="shared" si="10"/>
        <v>0.17691056910569106</v>
      </c>
      <c r="M21" s="35">
        <f t="shared" si="10"/>
        <v>0.16507936507936508</v>
      </c>
      <c r="N21" s="35">
        <f t="shared" si="10"/>
        <v>0.15904086126743333</v>
      </c>
      <c r="P21" s="47" t="s">
        <v>168</v>
      </c>
      <c r="Q21" s="20" t="s">
        <v>164</v>
      </c>
      <c r="R21" s="21" t="s">
        <v>167</v>
      </c>
    </row>
    <row r="22" spans="1:18" ht="19">
      <c r="A22" s="6" t="s">
        <v>16</v>
      </c>
      <c r="B22" s="10">
        <v>-72738000</v>
      </c>
      <c r="C22" s="10">
        <v>-85947000</v>
      </c>
      <c r="D22" s="10">
        <v>-97267000</v>
      </c>
      <c r="E22" s="10">
        <v>-97765000</v>
      </c>
      <c r="F22" s="10">
        <v>-147866000</v>
      </c>
      <c r="G22" s="10">
        <v>-209304000</v>
      </c>
      <c r="H22" s="10">
        <v>-289364000</v>
      </c>
      <c r="I22" s="32">
        <v>-346655000</v>
      </c>
      <c r="P22" s="17">
        <f>SUM(K29:N29)/4</f>
        <v>0.44299156870844419</v>
      </c>
      <c r="Q22" s="40">
        <f>(-1*I98)/Q102</f>
        <v>0</v>
      </c>
      <c r="R22" s="41">
        <f>J107/Q102</f>
        <v>9.2449082787897166E-3</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36">
        <v>193500000</v>
      </c>
      <c r="K28" s="36">
        <v>236400000</v>
      </c>
      <c r="L28" s="36">
        <v>362000000</v>
      </c>
      <c r="M28" s="36">
        <v>481000000</v>
      </c>
      <c r="N28" s="36">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-1.5602232786524532</v>
      </c>
      <c r="K29" s="16">
        <f t="shared" ref="K29" si="13">(K28/J28)-1</f>
        <v>0.22170542635658919</v>
      </c>
      <c r="L29" s="16">
        <f t="shared" ref="L29" si="14">(L28/K28)-1</f>
        <v>0.53130287648054142</v>
      </c>
      <c r="M29" s="16">
        <f t="shared" ref="M29" si="15">(M28/L28)-1</f>
        <v>0.32872928176795591</v>
      </c>
      <c r="N29" s="16">
        <f t="shared" ref="N29" si="16">(N28/M28)-1</f>
        <v>0.69022869022869027</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37">
        <f>J28/J3</f>
        <v>0.12048567870485678</v>
      </c>
      <c r="K30" s="37">
        <f t="shared" ref="K30:N30" si="17">K28/K3</f>
        <v>0.12129297075423294</v>
      </c>
      <c r="L30" s="37">
        <f t="shared" si="17"/>
        <v>0.14715447154471545</v>
      </c>
      <c r="M30" s="37">
        <f t="shared" si="17"/>
        <v>0.15269841269841269</v>
      </c>
      <c r="N30" s="37">
        <f t="shared" si="17"/>
        <v>0.19892341570834352</v>
      </c>
    </row>
    <row r="31" spans="1:18" ht="19">
      <c r="A31" s="5" t="s">
        <v>24</v>
      </c>
      <c r="B31" s="12">
        <v>-1.82</v>
      </c>
      <c r="C31" s="12">
        <v>-2.2799999999999998</v>
      </c>
      <c r="D31" s="12">
        <v>-4.0599999999999996</v>
      </c>
      <c r="E31" s="12">
        <v>-1.9</v>
      </c>
      <c r="F31" s="12">
        <v>-3.14</v>
      </c>
      <c r="G31" s="12">
        <v>-4.53</v>
      </c>
      <c r="H31" s="12">
        <v>-4.62</v>
      </c>
      <c r="I31" s="12">
        <v>-5.03</v>
      </c>
      <c r="J31" s="38">
        <v>2.71</v>
      </c>
      <c r="K31" s="38">
        <v>3.31</v>
      </c>
      <c r="L31" s="38">
        <v>5.07</v>
      </c>
      <c r="M31" s="38">
        <v>6.73</v>
      </c>
      <c r="N31" s="38">
        <f>N28/J34</f>
        <v>11.395393233575286</v>
      </c>
    </row>
    <row r="32" spans="1:18" ht="19">
      <c r="A32" s="5" t="s">
        <v>25</v>
      </c>
      <c r="B32" s="12">
        <v>-1.82</v>
      </c>
      <c r="C32" s="12">
        <v>-2.2799999999999998</v>
      </c>
      <c r="D32" s="12">
        <v>-4.0599999999999996</v>
      </c>
      <c r="E32" s="12">
        <v>-1.9</v>
      </c>
      <c r="F32" s="12">
        <v>-3.14</v>
      </c>
      <c r="G32" s="12">
        <v>-4.53</v>
      </c>
      <c r="H32" s="12">
        <v>-4.62</v>
      </c>
      <c r="I32" s="12">
        <v>-5.03</v>
      </c>
    </row>
    <row r="33" spans="1:10" ht="19">
      <c r="A33" s="5" t="s">
        <v>26</v>
      </c>
      <c r="B33" s="1">
        <v>40296208</v>
      </c>
      <c r="C33" s="1">
        <v>38068020</v>
      </c>
      <c r="D33" s="1">
        <v>23718391</v>
      </c>
      <c r="E33" s="1">
        <v>52034596</v>
      </c>
      <c r="F33" s="1">
        <v>55939032</v>
      </c>
      <c r="G33" s="1">
        <v>58984604</v>
      </c>
      <c r="H33" s="1">
        <v>66386379</v>
      </c>
      <c r="I33" s="1">
        <v>68628267</v>
      </c>
      <c r="J33" s="1" cm="1">
        <f t="array" ref="J33">_FV(A1,"Shares outstanding",TRUE)</f>
        <v>71344620</v>
      </c>
    </row>
    <row r="34" spans="1:10" ht="19">
      <c r="A34" s="5" t="s">
        <v>27</v>
      </c>
      <c r="B34" s="1">
        <v>40296208</v>
      </c>
      <c r="C34" s="1">
        <v>38068020</v>
      </c>
      <c r="D34" s="1">
        <v>23718391</v>
      </c>
      <c r="E34" s="1">
        <v>52034596</v>
      </c>
      <c r="F34" s="1">
        <v>55939032</v>
      </c>
      <c r="G34" s="1">
        <v>58984604</v>
      </c>
      <c r="H34" s="1">
        <v>66386379</v>
      </c>
      <c r="I34" s="1">
        <v>68628267</v>
      </c>
      <c r="J34" s="1" cm="1">
        <f t="array" ref="J34">_FV(A1,"Shares outstanding",TRUE)</f>
        <v>71344620</v>
      </c>
    </row>
    <row r="35" spans="1:10" ht="20" customHeight="1">
      <c r="A35" s="14" t="s">
        <v>102</v>
      </c>
      <c r="B35" s="1"/>
      <c r="C35" s="22">
        <f>(C34-B34)/B34</f>
        <v>-5.5295227779249105E-2</v>
      </c>
      <c r="D35" s="22">
        <f t="shared" ref="D35:J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c r="J35" s="22">
        <f t="shared" si="18"/>
        <v>3.9580673077465295E-2</v>
      </c>
    </row>
    <row r="36" spans="1:10" ht="19">
      <c r="A36" s="5" t="s">
        <v>28</v>
      </c>
      <c r="B36" s="13" t="s">
        <v>92</v>
      </c>
      <c r="C36" s="13" t="s">
        <v>92</v>
      </c>
      <c r="D36" s="13" t="s">
        <v>92</v>
      </c>
      <c r="E36" s="13" t="s">
        <v>92</v>
      </c>
      <c r="F36" s="13" t="s">
        <v>92</v>
      </c>
      <c r="G36" s="13" t="s">
        <v>92</v>
      </c>
      <c r="H36" s="13" t="s">
        <v>92</v>
      </c>
      <c r="I36" s="13" t="s">
        <v>92</v>
      </c>
    </row>
    <row r="37" spans="1:10" ht="21">
      <c r="A37" s="4" t="s">
        <v>29</v>
      </c>
      <c r="B37" s="9" t="s">
        <v>90</v>
      </c>
      <c r="C37" s="9" t="s">
        <v>90</v>
      </c>
      <c r="D37" s="9" t="s">
        <v>90</v>
      </c>
      <c r="E37" s="9" t="s">
        <v>90</v>
      </c>
      <c r="F37" s="9" t="s">
        <v>90</v>
      </c>
      <c r="G37" s="9" t="s">
        <v>90</v>
      </c>
      <c r="H37" s="9" t="s">
        <v>90</v>
      </c>
      <c r="I37" s="9"/>
    </row>
    <row r="38" spans="1:10" ht="19">
      <c r="A38" s="5" t="s">
        <v>30</v>
      </c>
      <c r="B38" s="1">
        <v>33205000</v>
      </c>
      <c r="C38" s="1">
        <v>69305000</v>
      </c>
      <c r="D38" s="1">
        <v>61902000</v>
      </c>
      <c r="E38" s="1">
        <v>147831000</v>
      </c>
      <c r="F38" s="1">
        <v>706192000</v>
      </c>
      <c r="G38" s="1">
        <v>429697000</v>
      </c>
      <c r="H38" s="1">
        <v>473904000</v>
      </c>
      <c r="I38" s="1">
        <v>455826000</v>
      </c>
    </row>
    <row r="39" spans="1:10" ht="19">
      <c r="A39" s="5" t="s">
        <v>31</v>
      </c>
      <c r="B39" s="1">
        <v>79954000</v>
      </c>
      <c r="C39" s="1">
        <v>47195000</v>
      </c>
      <c r="D39" s="1">
        <v>217072000</v>
      </c>
      <c r="E39" s="1">
        <v>318139000</v>
      </c>
      <c r="F39" s="1">
        <v>280326000</v>
      </c>
      <c r="G39" s="1">
        <v>528045000</v>
      </c>
      <c r="H39" s="1">
        <v>1352019000</v>
      </c>
      <c r="I39" s="1">
        <v>1380804000</v>
      </c>
    </row>
    <row r="40" spans="1:10" ht="19">
      <c r="A40" s="5" t="s">
        <v>32</v>
      </c>
      <c r="B40" s="1">
        <v>113159000</v>
      </c>
      <c r="C40" s="1">
        <v>116500000</v>
      </c>
      <c r="D40" s="1">
        <v>278974000</v>
      </c>
      <c r="E40" s="1">
        <v>465970000</v>
      </c>
      <c r="F40" s="1">
        <v>986518000</v>
      </c>
      <c r="G40" s="1">
        <v>957742000</v>
      </c>
      <c r="H40" s="1">
        <f>H38+H39</f>
        <v>1825923000</v>
      </c>
      <c r="I40" s="1">
        <f>I38+I39</f>
        <v>1836630000</v>
      </c>
    </row>
    <row r="41" spans="1:10" ht="19">
      <c r="A41" s="5" t="s">
        <v>33</v>
      </c>
      <c r="B41" s="1">
        <v>22432000</v>
      </c>
      <c r="C41" s="1">
        <v>31340000</v>
      </c>
      <c r="D41" s="1">
        <v>46872000</v>
      </c>
      <c r="E41" s="1">
        <v>72808000</v>
      </c>
      <c r="F41" s="1">
        <v>85554000</v>
      </c>
      <c r="G41" s="1">
        <v>135176000</v>
      </c>
      <c r="H41" s="1">
        <v>195383000</v>
      </c>
      <c r="I41" s="1">
        <v>285192000</v>
      </c>
    </row>
    <row r="42" spans="1:10" ht="19">
      <c r="A42" s="5" t="s">
        <v>34</v>
      </c>
      <c r="B42" s="1" t="s">
        <v>91</v>
      </c>
      <c r="C42" s="1" t="s">
        <v>91</v>
      </c>
      <c r="D42" s="1" t="s">
        <v>91</v>
      </c>
      <c r="E42" s="1" t="s">
        <v>91</v>
      </c>
      <c r="F42" s="1" t="s">
        <v>91</v>
      </c>
      <c r="G42" s="1" t="s">
        <v>91</v>
      </c>
      <c r="H42" s="1" t="s">
        <v>91</v>
      </c>
      <c r="I42" s="1" t="s">
        <v>91</v>
      </c>
    </row>
    <row r="43" spans="1:10" ht="19">
      <c r="A43" s="5" t="s">
        <v>35</v>
      </c>
      <c r="B43" s="1">
        <v>8436000</v>
      </c>
      <c r="C43" s="1">
        <v>10612000</v>
      </c>
      <c r="D43" s="1">
        <v>17704000</v>
      </c>
      <c r="E43" s="1">
        <v>27458000</v>
      </c>
      <c r="F43" s="1">
        <v>41124000</v>
      </c>
      <c r="G43" s="1">
        <v>48969000</v>
      </c>
      <c r="H43" s="1">
        <v>1448115000</v>
      </c>
      <c r="I43" s="1">
        <v>1448115000</v>
      </c>
    </row>
    <row r="44" spans="1:10" ht="19">
      <c r="A44" s="6" t="s">
        <v>36</v>
      </c>
      <c r="B44" s="10">
        <v>144027000</v>
      </c>
      <c r="C44" s="10">
        <v>158452000</v>
      </c>
      <c r="D44" s="10">
        <v>343550000</v>
      </c>
      <c r="E44" s="10">
        <v>566236000</v>
      </c>
      <c r="F44" s="10">
        <v>1113196000</v>
      </c>
      <c r="G44" s="10">
        <v>1141887000</v>
      </c>
      <c r="H44" s="10">
        <v>2117402000</v>
      </c>
      <c r="I44" s="10">
        <v>2236584000</v>
      </c>
    </row>
    <row r="45" spans="1:10" ht="19">
      <c r="A45" s="5" t="s">
        <v>37</v>
      </c>
      <c r="B45" s="1">
        <v>6031000</v>
      </c>
      <c r="C45" s="1">
        <v>4877000</v>
      </c>
      <c r="D45" s="1">
        <v>59557000</v>
      </c>
      <c r="E45" s="1">
        <v>73664000</v>
      </c>
      <c r="F45" s="1">
        <v>69463000</v>
      </c>
      <c r="G45" s="1">
        <v>96951000</v>
      </c>
      <c r="H45" s="1">
        <v>104370000</v>
      </c>
      <c r="I45" s="1">
        <v>104370000</v>
      </c>
    </row>
    <row r="46" spans="1:10" ht="19">
      <c r="A46" s="5" t="s">
        <v>38</v>
      </c>
      <c r="B46" s="1">
        <v>1700000</v>
      </c>
      <c r="C46" s="1">
        <v>1700000</v>
      </c>
      <c r="D46" s="1">
        <v>1700000</v>
      </c>
      <c r="E46" s="1">
        <v>41878000</v>
      </c>
      <c r="F46" s="1">
        <v>55830000</v>
      </c>
      <c r="G46" s="1">
        <v>55830000</v>
      </c>
      <c r="H46" s="1">
        <v>57775000</v>
      </c>
      <c r="I46" s="1">
        <v>57775000</v>
      </c>
    </row>
    <row r="47" spans="1:10" ht="19">
      <c r="A47" s="5" t="s">
        <v>39</v>
      </c>
      <c r="B47" s="1">
        <v>3394000</v>
      </c>
      <c r="C47" s="1">
        <v>2511000</v>
      </c>
      <c r="D47" s="1">
        <v>1627000</v>
      </c>
      <c r="E47" s="1">
        <v>15894000</v>
      </c>
      <c r="F47" s="1">
        <v>34779000</v>
      </c>
      <c r="G47" s="1">
        <v>26275000</v>
      </c>
      <c r="H47" s="1">
        <v>20608000</v>
      </c>
      <c r="I47" s="1">
        <v>11428000</v>
      </c>
    </row>
    <row r="48" spans="1:10"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19">
      <c r="A83" s="5" t="s">
        <v>34</v>
      </c>
      <c r="B83" s="1" t="s">
        <v>91</v>
      </c>
      <c r="C83" s="1" t="s">
        <v>91</v>
      </c>
      <c r="D83" s="1" t="s">
        <v>91</v>
      </c>
      <c r="E83" s="1" t="s">
        <v>91</v>
      </c>
      <c r="F83" s="1" t="s">
        <v>91</v>
      </c>
      <c r="G83" s="1" t="s">
        <v>91</v>
      </c>
      <c r="H83" s="1" t="s">
        <v>91</v>
      </c>
      <c r="I83" s="1" t="s">
        <v>91</v>
      </c>
    </row>
    <row r="84" spans="1:17" ht="19" customHeight="1">
      <c r="A84" s="5" t="s">
        <v>47</v>
      </c>
      <c r="B84" s="1">
        <v>371000</v>
      </c>
      <c r="C84" s="1">
        <v>1296000</v>
      </c>
      <c r="D84" s="1">
        <v>-371000</v>
      </c>
      <c r="E84" s="1">
        <v>-913000</v>
      </c>
      <c r="F84" s="1">
        <v>513000</v>
      </c>
      <c r="G84" s="1">
        <v>1216000</v>
      </c>
      <c r="H84" s="1">
        <v>1146000</v>
      </c>
      <c r="I84" s="1">
        <v>3161000</v>
      </c>
      <c r="J84" s="49"/>
      <c r="K84" s="49"/>
      <c r="L84" s="49"/>
      <c r="M84" s="49"/>
      <c r="N84" s="49"/>
      <c r="O84" s="49"/>
      <c r="P84" s="76" t="s">
        <v>124</v>
      </c>
      <c r="Q84" s="77"/>
    </row>
    <row r="85" spans="1:17" ht="19" customHeight="1">
      <c r="A85" s="5" t="s">
        <v>71</v>
      </c>
      <c r="B85" s="1">
        <v>16491000</v>
      </c>
      <c r="C85" s="1">
        <v>29143000</v>
      </c>
      <c r="D85" s="1">
        <v>38382000</v>
      </c>
      <c r="E85" s="1">
        <v>22188000</v>
      </c>
      <c r="F85" s="1">
        <v>24692000</v>
      </c>
      <c r="G85" s="1">
        <v>6616000</v>
      </c>
      <c r="H85" s="1">
        <v>52499000</v>
      </c>
      <c r="I85" s="1">
        <v>32978000</v>
      </c>
      <c r="J85" s="49"/>
      <c r="K85" s="49"/>
      <c r="L85" s="49"/>
      <c r="M85" s="49"/>
      <c r="N85" s="49"/>
      <c r="O85" s="49"/>
      <c r="P85" s="78" t="s">
        <v>125</v>
      </c>
      <c r="Q85" s="78"/>
    </row>
    <row r="86" spans="1:17" ht="20">
      <c r="A86" s="5" t="s">
        <v>72</v>
      </c>
      <c r="B86" s="1">
        <v>-52000</v>
      </c>
      <c r="C86" s="1">
        <v>-38000</v>
      </c>
      <c r="D86" s="1">
        <v>-101000</v>
      </c>
      <c r="E86" s="1">
        <v>8969000</v>
      </c>
      <c r="F86" s="1">
        <v>27132000</v>
      </c>
      <c r="G86" s="1">
        <v>49251000</v>
      </c>
      <c r="H86" s="1">
        <v>19874000</v>
      </c>
      <c r="I86" s="1">
        <v>34882000</v>
      </c>
      <c r="J86" s="49"/>
      <c r="K86" s="49"/>
      <c r="L86" s="49"/>
      <c r="M86" s="49"/>
      <c r="N86" s="49"/>
      <c r="O86" s="49"/>
      <c r="P86" s="42" t="s">
        <v>126</v>
      </c>
      <c r="Q86" s="50">
        <f>I17</f>
        <v>0</v>
      </c>
    </row>
    <row r="87" spans="1:17" ht="20">
      <c r="A87" s="6" t="s">
        <v>73</v>
      </c>
      <c r="B87" s="10">
        <v>-46961000</v>
      </c>
      <c r="C87" s="10">
        <v>-38078000</v>
      </c>
      <c r="D87" s="10">
        <v>-44881000</v>
      </c>
      <c r="E87" s="10">
        <v>-41989000</v>
      </c>
      <c r="F87" s="10">
        <v>-29540000</v>
      </c>
      <c r="G87" s="10">
        <v>-42673000</v>
      </c>
      <c r="H87" s="10">
        <v>6980000</v>
      </c>
      <c r="I87" s="10">
        <v>-12970000</v>
      </c>
      <c r="J87" s="49"/>
      <c r="K87" s="49"/>
      <c r="L87" s="49"/>
      <c r="M87" s="49"/>
      <c r="N87" s="49"/>
      <c r="O87" s="49"/>
      <c r="P87" s="42" t="s">
        <v>127</v>
      </c>
      <c r="Q87" s="50">
        <f>I56</f>
        <v>8686000</v>
      </c>
    </row>
    <row r="88" spans="1:17" ht="20">
      <c r="A88" s="5" t="s">
        <v>74</v>
      </c>
      <c r="B88" s="1">
        <v>-468000</v>
      </c>
      <c r="C88" s="1">
        <v>-1683000</v>
      </c>
      <c r="D88" s="1">
        <v>-2135000</v>
      </c>
      <c r="E88" s="1">
        <v>-6848000</v>
      </c>
      <c r="F88" s="1">
        <v>-3564000</v>
      </c>
      <c r="G88" s="1">
        <v>-11773000</v>
      </c>
      <c r="H88" s="1">
        <v>-8072000</v>
      </c>
      <c r="I88" s="1">
        <v>-7244000</v>
      </c>
      <c r="J88" s="49"/>
      <c r="K88" s="49"/>
      <c r="L88" s="49"/>
      <c r="M88" s="49"/>
      <c r="N88" s="49"/>
      <c r="O88" s="49"/>
      <c r="P88" s="42" t="s">
        <v>128</v>
      </c>
      <c r="Q88" s="50">
        <f>I61</f>
        <v>1207893000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J89" s="49"/>
      <c r="K89" s="49"/>
      <c r="L89" s="49"/>
      <c r="M89" s="49"/>
      <c r="N89" s="49"/>
      <c r="O89" s="49"/>
      <c r="P89" s="43" t="s">
        <v>129</v>
      </c>
      <c r="Q89" s="51">
        <f>Q86/(Q87+Q88)</f>
        <v>0</v>
      </c>
    </row>
    <row r="90" spans="1:17" ht="20">
      <c r="A90" s="5" t="s">
        <v>75</v>
      </c>
      <c r="B90" s="1" t="s">
        <v>91</v>
      </c>
      <c r="C90" s="1" t="s">
        <v>91</v>
      </c>
      <c r="D90" s="1" t="s">
        <v>91</v>
      </c>
      <c r="E90" s="1">
        <v>-56000000</v>
      </c>
      <c r="F90" s="1">
        <v>-39000000</v>
      </c>
      <c r="G90" s="1" t="s">
        <v>91</v>
      </c>
      <c r="H90" s="1">
        <v>-4469000</v>
      </c>
      <c r="I90" s="1">
        <v>0</v>
      </c>
      <c r="J90" s="49"/>
      <c r="K90" s="49"/>
      <c r="L90" s="49"/>
      <c r="M90" s="49"/>
      <c r="N90" s="49"/>
      <c r="O90" s="49"/>
      <c r="P90" s="42" t="s">
        <v>105</v>
      </c>
      <c r="Q90" s="50">
        <f>I27</f>
        <v>12144000</v>
      </c>
    </row>
    <row r="91" spans="1:17" ht="20">
      <c r="A91" s="5" t="s">
        <v>76</v>
      </c>
      <c r="B91" s="1">
        <v>-117954000</v>
      </c>
      <c r="C91" s="1">
        <v>-82036000</v>
      </c>
      <c r="D91" s="1">
        <v>-252382000</v>
      </c>
      <c r="E91" s="1">
        <v>-547914000</v>
      </c>
      <c r="F91" s="1">
        <v>-429452000</v>
      </c>
      <c r="G91" s="1">
        <v>-990883000</v>
      </c>
      <c r="H91" s="1">
        <v>-1385258000</v>
      </c>
      <c r="I91" s="1">
        <v>-1444796600</v>
      </c>
      <c r="J91" s="49"/>
      <c r="K91" s="49"/>
      <c r="L91" s="49"/>
      <c r="M91" s="49"/>
      <c r="N91" s="49"/>
      <c r="O91" s="49"/>
      <c r="P91" s="42" t="s">
        <v>19</v>
      </c>
      <c r="Q91" s="50">
        <f>I25</f>
        <v>-333254000</v>
      </c>
    </row>
    <row r="92" spans="1:17" ht="20">
      <c r="A92" s="5" t="s">
        <v>77</v>
      </c>
      <c r="B92" s="1">
        <v>38000000</v>
      </c>
      <c r="C92" s="1">
        <v>114775000</v>
      </c>
      <c r="D92" s="1">
        <v>82230000</v>
      </c>
      <c r="E92" s="1">
        <v>450000000</v>
      </c>
      <c r="F92" s="1">
        <v>470000000</v>
      </c>
      <c r="G92" s="1">
        <v>740000000</v>
      </c>
      <c r="H92" s="1">
        <v>550000000</v>
      </c>
      <c r="I92" s="1">
        <v>1425000000</v>
      </c>
      <c r="J92" s="49"/>
      <c r="K92" s="49"/>
      <c r="L92" s="49"/>
      <c r="M92" s="49"/>
      <c r="N92" s="49"/>
      <c r="O92" s="49"/>
      <c r="P92" s="43" t="s">
        <v>130</v>
      </c>
      <c r="Q92" s="51">
        <f>Q90/Q91</f>
        <v>-3.6440672880145478E-2</v>
      </c>
    </row>
    <row r="93" spans="1:17" ht="19" customHeight="1">
      <c r="A93" s="5" t="s">
        <v>78</v>
      </c>
      <c r="B93" s="1" t="s">
        <v>91</v>
      </c>
      <c r="C93" s="1" t="s">
        <v>91</v>
      </c>
      <c r="D93" s="1" t="s">
        <v>91</v>
      </c>
      <c r="E93" s="1">
        <v>483000</v>
      </c>
      <c r="F93" s="1">
        <v>371000</v>
      </c>
      <c r="G93" s="1" t="s">
        <v>91</v>
      </c>
      <c r="H93" s="1">
        <v>-4343000</v>
      </c>
      <c r="I93" s="1">
        <v>-3098000</v>
      </c>
      <c r="J93" s="49"/>
      <c r="K93" s="49"/>
      <c r="L93" s="49"/>
      <c r="M93" s="49"/>
      <c r="N93" s="49"/>
      <c r="O93" s="49"/>
      <c r="P93" s="43" t="s">
        <v>131</v>
      </c>
      <c r="Q93" s="51">
        <f>Q89*(1-Q92)</f>
        <v>0</v>
      </c>
    </row>
    <row r="94" spans="1:17" ht="19" customHeight="1">
      <c r="A94" s="6" t="s">
        <v>79</v>
      </c>
      <c r="B94" s="10">
        <v>-80422000</v>
      </c>
      <c r="C94" s="10">
        <v>31056000</v>
      </c>
      <c r="D94" s="10">
        <v>-172287000</v>
      </c>
      <c r="E94" s="10">
        <v>-160279000</v>
      </c>
      <c r="F94" s="10">
        <v>-1645000</v>
      </c>
      <c r="G94" s="10">
        <v>-262656000</v>
      </c>
      <c r="H94" s="10">
        <v>-852142000</v>
      </c>
      <c r="I94" s="10">
        <v>-33308000</v>
      </c>
      <c r="J94" s="49"/>
      <c r="K94" s="49"/>
      <c r="L94" s="49"/>
      <c r="M94" s="49"/>
      <c r="N94" s="49"/>
      <c r="O94" s="49"/>
      <c r="P94" s="78" t="s">
        <v>132</v>
      </c>
      <c r="Q94" s="78"/>
    </row>
    <row r="95" spans="1:17" ht="20">
      <c r="A95" s="5" t="s">
        <v>80</v>
      </c>
      <c r="B95" s="1" t="s">
        <v>91</v>
      </c>
      <c r="C95" s="1" t="s">
        <v>91</v>
      </c>
      <c r="D95" s="1" t="s">
        <v>91</v>
      </c>
      <c r="E95" s="1" t="s">
        <v>91</v>
      </c>
      <c r="F95" s="1">
        <v>-480985000</v>
      </c>
      <c r="G95" s="1">
        <v>-4633000</v>
      </c>
      <c r="H95" s="1">
        <v>-5572000</v>
      </c>
      <c r="I95" s="1">
        <v>-4510000</v>
      </c>
      <c r="J95" s="49"/>
      <c r="K95" s="49"/>
      <c r="L95" s="49"/>
      <c r="M95" s="49"/>
      <c r="N95" s="49"/>
      <c r="O95" s="49"/>
      <c r="P95" s="42" t="s">
        <v>133</v>
      </c>
      <c r="Q95" s="48">
        <f>'[1]US Treasury Bonds'!$C$8</f>
        <v>4.8750000000000002E-2</v>
      </c>
    </row>
    <row r="96" spans="1:17" ht="20">
      <c r="A96" s="5" t="s">
        <v>81</v>
      </c>
      <c r="B96" s="1" t="s">
        <v>91</v>
      </c>
      <c r="C96" s="1" t="s">
        <v>91</v>
      </c>
      <c r="D96" s="1">
        <v>205494000</v>
      </c>
      <c r="E96" s="1" t="s">
        <v>91</v>
      </c>
      <c r="F96" s="1" t="s">
        <v>91</v>
      </c>
      <c r="G96" s="1" t="s">
        <v>91</v>
      </c>
      <c r="H96" s="1">
        <v>889184000</v>
      </c>
      <c r="I96" s="1">
        <v>34710000</v>
      </c>
      <c r="J96" s="49"/>
      <c r="K96" s="49"/>
      <c r="L96" s="49"/>
      <c r="M96" s="49"/>
      <c r="N96" s="49"/>
      <c r="O96" s="49"/>
      <c r="P96" s="42" t="s">
        <v>134</v>
      </c>
      <c r="Q96" s="52" cm="1">
        <f t="array" ref="Q96">_FV(A1,"Beta")</f>
        <v>1.1580999999999999</v>
      </c>
    </row>
    <row r="97" spans="1:21" ht="20">
      <c r="A97" s="5" t="s">
        <v>82</v>
      </c>
      <c r="B97" s="1" t="s">
        <v>91</v>
      </c>
      <c r="C97" s="1" t="s">
        <v>91</v>
      </c>
      <c r="D97" s="1" t="s">
        <v>91</v>
      </c>
      <c r="E97" s="1" t="s">
        <v>91</v>
      </c>
      <c r="F97" s="1" t="s">
        <v>91</v>
      </c>
      <c r="G97" s="1" t="s">
        <v>91</v>
      </c>
      <c r="H97" s="1" t="s">
        <v>91</v>
      </c>
      <c r="I97" s="1" t="s">
        <v>91</v>
      </c>
      <c r="J97" s="49"/>
      <c r="K97" s="49"/>
      <c r="L97" s="49"/>
      <c r="M97" s="49"/>
      <c r="N97" s="49"/>
      <c r="O97" s="49"/>
      <c r="P97" s="42" t="s">
        <v>135</v>
      </c>
      <c r="Q97" s="48">
        <v>8.4000000000000005E-2</v>
      </c>
    </row>
    <row r="98" spans="1:21" ht="19" customHeight="1">
      <c r="A98" s="5" t="s">
        <v>83</v>
      </c>
      <c r="B98" s="1" t="s">
        <v>91</v>
      </c>
      <c r="C98" s="1" t="s">
        <v>91</v>
      </c>
      <c r="D98" s="1" t="s">
        <v>91</v>
      </c>
      <c r="E98" s="1" t="s">
        <v>91</v>
      </c>
      <c r="F98" s="1" t="s">
        <v>91</v>
      </c>
      <c r="G98" s="1" t="s">
        <v>91</v>
      </c>
      <c r="H98" s="1" t="s">
        <v>91</v>
      </c>
      <c r="I98" s="1">
        <v>0</v>
      </c>
      <c r="J98" s="49"/>
      <c r="K98" s="49"/>
      <c r="L98" s="49"/>
      <c r="M98" s="49"/>
      <c r="N98" s="49"/>
      <c r="O98" s="49"/>
      <c r="P98" s="43" t="s">
        <v>136</v>
      </c>
      <c r="Q98" s="51">
        <f>(Q95)+((Q96)*(Q97-Q95))</f>
        <v>8.9573025000000001E-2</v>
      </c>
    </row>
    <row r="99" spans="1:21" ht="19" customHeight="1">
      <c r="A99" s="5" t="s">
        <v>84</v>
      </c>
      <c r="B99" s="1">
        <v>3087000</v>
      </c>
      <c r="C99" s="1">
        <v>43114000</v>
      </c>
      <c r="D99" s="1">
        <v>4398000</v>
      </c>
      <c r="E99" s="1">
        <v>288236000</v>
      </c>
      <c r="F99" s="1">
        <v>1070223000</v>
      </c>
      <c r="G99" s="1">
        <v>32214000</v>
      </c>
      <c r="H99" s="1">
        <v>7280000</v>
      </c>
      <c r="I99" s="1">
        <v>0</v>
      </c>
      <c r="J99" s="49"/>
      <c r="K99" s="49"/>
      <c r="L99" s="49"/>
      <c r="M99" s="49"/>
      <c r="N99" s="49"/>
      <c r="O99" s="49"/>
      <c r="P99" s="78" t="s">
        <v>137</v>
      </c>
      <c r="Q99" s="78"/>
    </row>
    <row r="100" spans="1:21" ht="20">
      <c r="A100" s="6" t="s">
        <v>85</v>
      </c>
      <c r="B100" s="10">
        <v>3087000</v>
      </c>
      <c r="C100" s="10">
        <v>43114000</v>
      </c>
      <c r="D100" s="10">
        <v>209892000</v>
      </c>
      <c r="E100" s="10">
        <v>288236000</v>
      </c>
      <c r="F100" s="10">
        <v>589238000</v>
      </c>
      <c r="G100" s="10">
        <v>27581000</v>
      </c>
      <c r="H100" s="10">
        <v>890892000</v>
      </c>
      <c r="I100" s="10">
        <v>30200000</v>
      </c>
      <c r="J100" s="49"/>
      <c r="K100" s="49"/>
      <c r="L100" s="49"/>
      <c r="M100" s="49" t="s">
        <v>165</v>
      </c>
      <c r="N100" s="49"/>
      <c r="O100" s="49"/>
      <c r="P100" s="42" t="s">
        <v>138</v>
      </c>
      <c r="Q100" s="50">
        <f>Q87+Q88</f>
        <v>1216579000</v>
      </c>
    </row>
    <row r="101" spans="1:21" ht="20">
      <c r="A101" s="5" t="s">
        <v>86</v>
      </c>
      <c r="B101" s="1">
        <v>-92000</v>
      </c>
      <c r="C101" s="1">
        <v>7000</v>
      </c>
      <c r="D101" s="1">
        <v>291000</v>
      </c>
      <c r="E101" s="1">
        <v>-48000</v>
      </c>
      <c r="F101" s="1">
        <v>306000</v>
      </c>
      <c r="G101" s="1">
        <v>1264000</v>
      </c>
      <c r="H101" s="1">
        <v>-1532000</v>
      </c>
      <c r="I101" s="1">
        <v>-2003000</v>
      </c>
      <c r="J101" s="49"/>
      <c r="K101" s="49"/>
      <c r="L101" s="49"/>
      <c r="M101" s="49"/>
      <c r="N101" s="49"/>
      <c r="O101" s="49"/>
      <c r="P101" s="43" t="s">
        <v>139</v>
      </c>
      <c r="Q101" s="51">
        <f>Q100/Q104</f>
        <v>4.9276237243762476E-2</v>
      </c>
    </row>
    <row r="102" spans="1:21" ht="20">
      <c r="A102" s="6" t="s">
        <v>87</v>
      </c>
      <c r="B102" s="10">
        <v>-124388000</v>
      </c>
      <c r="C102" s="10">
        <v>36099000</v>
      </c>
      <c r="D102" s="10">
        <v>-6985000</v>
      </c>
      <c r="E102" s="10">
        <v>85920000</v>
      </c>
      <c r="F102" s="10">
        <v>558359000</v>
      </c>
      <c r="G102" s="10">
        <v>-276484000</v>
      </c>
      <c r="H102" s="10">
        <v>44198000</v>
      </c>
      <c r="I102" s="10">
        <v>-18081000</v>
      </c>
      <c r="J102" s="49"/>
      <c r="K102" s="49"/>
      <c r="L102" s="49"/>
      <c r="M102" s="49"/>
      <c r="N102" s="49"/>
      <c r="O102" s="49"/>
      <c r="P102" s="42" t="s">
        <v>140</v>
      </c>
      <c r="Q102" s="53" cm="1">
        <f t="array" ref="Q102">_FV(A1,"Market cap",TRUE)</f>
        <v>23472379980</v>
      </c>
    </row>
    <row r="103" spans="1:21" ht="20">
      <c r="A103" s="5" t="s">
        <v>88</v>
      </c>
      <c r="B103" s="1">
        <v>157701000</v>
      </c>
      <c r="C103" s="1">
        <v>33313000</v>
      </c>
      <c r="D103" s="1">
        <v>69412000</v>
      </c>
      <c r="E103" s="1">
        <v>62427000</v>
      </c>
      <c r="F103" s="1">
        <v>148347000</v>
      </c>
      <c r="G103" s="1">
        <v>706706000</v>
      </c>
      <c r="H103" s="1">
        <v>430222000</v>
      </c>
      <c r="I103" s="1">
        <v>474000000</v>
      </c>
      <c r="J103" s="49"/>
      <c r="K103" s="49"/>
      <c r="L103" s="49"/>
      <c r="M103" s="49"/>
      <c r="N103" s="49"/>
      <c r="O103" s="49"/>
      <c r="P103" s="43" t="s">
        <v>141</v>
      </c>
      <c r="Q103" s="51">
        <f>Q102/Q104</f>
        <v>0.95072376275623749</v>
      </c>
    </row>
    <row r="104" spans="1:21" ht="20" customHeight="1" thickBot="1">
      <c r="A104" s="7" t="s">
        <v>89</v>
      </c>
      <c r="B104" s="11">
        <v>33313000</v>
      </c>
      <c r="C104" s="11">
        <v>69412000</v>
      </c>
      <c r="D104" s="11">
        <v>62427000</v>
      </c>
      <c r="E104" s="11">
        <v>148347000</v>
      </c>
      <c r="F104" s="11">
        <v>706706000</v>
      </c>
      <c r="G104" s="11">
        <v>430222000</v>
      </c>
      <c r="H104" s="11">
        <v>474420000</v>
      </c>
      <c r="I104" s="11">
        <v>456339000</v>
      </c>
      <c r="J104" s="80" t="s">
        <v>162</v>
      </c>
      <c r="K104" s="80"/>
      <c r="L104" s="80"/>
      <c r="M104" s="80"/>
      <c r="N104" s="80"/>
      <c r="O104" s="49"/>
      <c r="P104" s="43" t="s">
        <v>142</v>
      </c>
      <c r="Q104" s="54">
        <f>Q100+Q102</f>
        <v>24688958980</v>
      </c>
    </row>
    <row r="105" spans="1:21" ht="21" customHeight="1" thickTop="1">
      <c r="A105" s="14" t="s">
        <v>159</v>
      </c>
      <c r="B105" s="1">
        <f t="shared" ref="B105:G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55">
        <f>I105*(1+$Q$107)</f>
        <v>-307428210.25523329</v>
      </c>
      <c r="K105" s="55">
        <f>J105*(1+$Q$107)</f>
        <v>-387635416.97558385</v>
      </c>
      <c r="L105" s="55">
        <f>K105*(1+$Q$107)</f>
        <v>-488768471.7322616</v>
      </c>
      <c r="M105" s="55">
        <f>L105*(1+$Q$107)</f>
        <v>-616286872.91630518</v>
      </c>
      <c r="N105" s="55">
        <f>M105*(1+$Q$107)</f>
        <v>-777074487.60527003</v>
      </c>
      <c r="O105" s="74" t="s">
        <v>166</v>
      </c>
      <c r="P105" s="78" t="s">
        <v>143</v>
      </c>
      <c r="Q105" s="78"/>
      <c r="R105" s="15"/>
      <c r="S105" s="15"/>
      <c r="T105" s="15"/>
      <c r="U105" s="15"/>
    </row>
    <row r="106" spans="1:21" ht="20">
      <c r="A106" s="14" t="s">
        <v>160</v>
      </c>
      <c r="B106" s="1"/>
      <c r="C106" s="15">
        <f t="shared" ref="C106:H106" si="24">(C107/B107)-1</f>
        <v>-0.16167323789242871</v>
      </c>
      <c r="D106" s="15">
        <f t="shared" si="24"/>
        <v>0.18246522974774271</v>
      </c>
      <c r="E106" s="15">
        <f t="shared" si="24"/>
        <v>3.8731495661051607E-2</v>
      </c>
      <c r="F106" s="15">
        <f t="shared" si="24"/>
        <v>-0.32215328541884225</v>
      </c>
      <c r="G106" s="15">
        <f t="shared" si="24"/>
        <v>0.64469550507491546</v>
      </c>
      <c r="H106" s="15">
        <f t="shared" si="24"/>
        <v>-0.97994343018770891</v>
      </c>
      <c r="I106" s="15">
        <f>(I105/H105)-1</f>
        <v>0.25626284256280352</v>
      </c>
      <c r="J106" s="57">
        <f>(J107/I105*-1)-1</f>
        <v>-0.10998822887657544</v>
      </c>
      <c r="K106" s="57">
        <f>(K107/J107)-1</f>
        <v>0.30414746543778803</v>
      </c>
      <c r="L106" s="57">
        <f>(L107/K107)-1</f>
        <v>0.53356890459363959</v>
      </c>
      <c r="M106" s="57">
        <f>(M107/L107)-1</f>
        <v>0.44700460829493083</v>
      </c>
      <c r="N106" s="57">
        <f>(N107/M107)-1</f>
        <v>0.19426751592356695</v>
      </c>
      <c r="O106" s="58">
        <f>SUM(J106:N106)/5</f>
        <v>0.27380005307466998</v>
      </c>
      <c r="P106" s="44" t="s">
        <v>106</v>
      </c>
      <c r="Q106" s="59">
        <f>(Q101*Q93)+(Q103*Q98)</f>
        <v>8.5159203369458536E-2</v>
      </c>
    </row>
    <row r="107" spans="1:21" ht="19">
      <c r="A107" s="39" t="s">
        <v>161</v>
      </c>
      <c r="B107" s="1">
        <v>-47429000</v>
      </c>
      <c r="C107" s="1">
        <v>-39761000</v>
      </c>
      <c r="D107" s="1">
        <v>-47016000</v>
      </c>
      <c r="E107" s="1">
        <v>-48837000</v>
      </c>
      <c r="F107" s="1">
        <v>-33104000</v>
      </c>
      <c r="G107" s="1">
        <v>-54446000</v>
      </c>
      <c r="H107" s="1">
        <v>-1092000</v>
      </c>
      <c r="I107" s="1">
        <v>-20214000</v>
      </c>
      <c r="J107" s="60">
        <v>217000000</v>
      </c>
      <c r="K107" s="60">
        <v>283000000</v>
      </c>
      <c r="L107" s="60">
        <v>434000000</v>
      </c>
      <c r="M107" s="60">
        <v>628000000</v>
      </c>
      <c r="N107" s="60">
        <v>750000000</v>
      </c>
      <c r="O107" s="56" t="s">
        <v>163</v>
      </c>
      <c r="P107" s="61" t="s">
        <v>144</v>
      </c>
      <c r="Q107" s="45">
        <f>(SUM(J4:N4)/5)</f>
        <v>0.26089735438969941</v>
      </c>
    </row>
    <row r="108" spans="1:21" ht="19">
      <c r="J108" s="56"/>
      <c r="K108" s="56"/>
      <c r="L108" s="56"/>
      <c r="M108" s="56"/>
      <c r="N108" s="62">
        <f>N107*(1+Q108)/(Q109-Q108)</f>
        <v>12778593414.524448</v>
      </c>
      <c r="O108" s="63" t="s">
        <v>145</v>
      </c>
      <c r="P108" s="64" t="s">
        <v>146</v>
      </c>
      <c r="Q108" s="46">
        <v>2.5000000000000001E-2</v>
      </c>
    </row>
    <row r="109" spans="1:21" ht="19">
      <c r="J109" s="62">
        <f t="shared" ref="J109:M109" si="25">J108+J107</f>
        <v>217000000</v>
      </c>
      <c r="K109" s="62">
        <f t="shared" si="25"/>
        <v>283000000</v>
      </c>
      <c r="L109" s="62">
        <f t="shared" si="25"/>
        <v>434000000</v>
      </c>
      <c r="M109" s="62">
        <f t="shared" si="25"/>
        <v>628000000</v>
      </c>
      <c r="N109" s="62">
        <f>N108+N107</f>
        <v>13528593414.524448</v>
      </c>
      <c r="O109" s="63" t="s">
        <v>142</v>
      </c>
      <c r="P109" s="65" t="s">
        <v>147</v>
      </c>
      <c r="Q109" s="45">
        <f>Q106</f>
        <v>8.5159203369458536E-2</v>
      </c>
    </row>
    <row r="110" spans="1:21" ht="19">
      <c r="J110" s="79" t="s">
        <v>148</v>
      </c>
      <c r="K110" s="79"/>
      <c r="L110" s="49"/>
      <c r="M110" s="49"/>
      <c r="N110" s="49"/>
      <c r="O110" s="49"/>
      <c r="P110" s="49"/>
      <c r="Q110" s="49"/>
    </row>
    <row r="111" spans="1:21" ht="20">
      <c r="J111" s="66" t="s">
        <v>149</v>
      </c>
      <c r="K111" s="53">
        <f>NPV(Q109,J109,K109,L109,M109,N109)</f>
        <v>10223342585.1164</v>
      </c>
      <c r="L111" s="49"/>
      <c r="M111" s="49"/>
      <c r="N111" s="49"/>
      <c r="O111" s="49"/>
      <c r="P111" s="49"/>
      <c r="Q111" s="49"/>
    </row>
    <row r="112" spans="1:21" ht="20">
      <c r="J112" s="66" t="s">
        <v>150</v>
      </c>
      <c r="K112" s="53">
        <f>I40</f>
        <v>1836630000</v>
      </c>
      <c r="L112" s="49"/>
      <c r="M112" s="49"/>
      <c r="N112" s="49"/>
      <c r="O112" s="49"/>
      <c r="P112" s="49"/>
      <c r="Q112" s="49"/>
    </row>
    <row r="113" spans="10:17" ht="20">
      <c r="J113" s="66" t="s">
        <v>138</v>
      </c>
      <c r="K113" s="53">
        <f>Q100</f>
        <v>1216579000</v>
      </c>
      <c r="L113" s="49"/>
      <c r="M113" s="49"/>
      <c r="N113" s="49"/>
      <c r="O113" s="49"/>
      <c r="P113" s="49"/>
      <c r="Q113" s="49"/>
    </row>
    <row r="114" spans="10:17" ht="20">
      <c r="J114" s="66" t="s">
        <v>151</v>
      </c>
      <c r="K114" s="53">
        <f>K111+K112-K113</f>
        <v>10843393585.1164</v>
      </c>
      <c r="L114" s="49"/>
      <c r="M114" s="49"/>
      <c r="N114" s="49"/>
      <c r="O114" s="49"/>
      <c r="P114" s="49"/>
      <c r="Q114" s="49"/>
    </row>
    <row r="115" spans="10:17" ht="20">
      <c r="J115" s="66" t="s">
        <v>169</v>
      </c>
      <c r="K115" s="66">
        <f>I34*(1+(0.02*5))</f>
        <v>75491093.700000003</v>
      </c>
      <c r="L115" s="49"/>
      <c r="M115" s="49"/>
      <c r="N115" s="49"/>
      <c r="O115" s="49"/>
      <c r="P115" s="49"/>
      <c r="Q115" s="49"/>
    </row>
    <row r="116" spans="10:17" ht="20">
      <c r="J116" s="67" t="s">
        <v>152</v>
      </c>
      <c r="K116" s="68">
        <f>K114/K115</f>
        <v>143.63805124095586</v>
      </c>
      <c r="L116" s="49"/>
      <c r="M116" s="49"/>
      <c r="N116" s="49"/>
      <c r="O116" s="49"/>
      <c r="P116" s="49"/>
      <c r="Q116" s="49"/>
    </row>
    <row r="117" spans="10:17" ht="20">
      <c r="J117" s="66" t="s">
        <v>153</v>
      </c>
      <c r="K117" s="69" cm="1">
        <f t="array" ref="K117">_FV(A1,"Price")</f>
        <v>329</v>
      </c>
      <c r="L117" s="49"/>
      <c r="M117" s="49"/>
      <c r="N117" s="49"/>
      <c r="O117" s="49"/>
      <c r="P117" s="49"/>
      <c r="Q117" s="49"/>
    </row>
    <row r="118" spans="10:17" ht="20">
      <c r="J118" s="67" t="s">
        <v>154</v>
      </c>
      <c r="K118" s="70">
        <f>K116/K117-1</f>
        <v>-0.56341017859891829</v>
      </c>
      <c r="L118" s="49"/>
      <c r="M118" s="49"/>
      <c r="N118" s="49"/>
      <c r="O118" s="49"/>
      <c r="P118" s="49"/>
      <c r="Q118" s="49"/>
    </row>
    <row r="119" spans="10:17" ht="20">
      <c r="J119" s="67" t="s">
        <v>155</v>
      </c>
      <c r="K119" s="71" t="str">
        <f>IF(K116&gt;K117,"BUY","SELL")</f>
        <v>SELL</v>
      </c>
      <c r="L119" s="49"/>
      <c r="M119" s="49"/>
      <c r="N119" s="49"/>
      <c r="O119" s="49"/>
      <c r="P119" s="49"/>
      <c r="Q119" s="49"/>
    </row>
  </sheetData>
  <mergeCells count="7">
    <mergeCell ref="P84:Q84"/>
    <mergeCell ref="P85:Q85"/>
    <mergeCell ref="J110:K110"/>
    <mergeCell ref="J104:N104"/>
    <mergeCell ref="P105:Q105"/>
    <mergeCell ref="P99:Q99"/>
    <mergeCell ref="P94:Q9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7"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2023-01-12T06:12:36Z</dcterms:created>
  <dcterms:modified xsi:type="dcterms:W3CDTF">2023-11-03T10:07:44Z</dcterms:modified>
</cp:coreProperties>
</file>