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095E826-DCAE-804A-9DBE-E39DB89B29A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1" l="1"/>
  <c r="P105" i="1"/>
  <c r="O105" i="1"/>
  <c r="N105" i="1"/>
  <c r="M105" i="1"/>
  <c r="L6" i="1"/>
  <c r="T7" i="1"/>
  <c r="S7" i="1"/>
  <c r="R7" i="1"/>
  <c r="L34" i="1" a="1"/>
  <c r="L34" i="1" s="1"/>
  <c r="L35" i="1" s="1"/>
  <c r="R16" i="1" s="1"/>
  <c r="L33" i="1" a="1"/>
  <c r="L33" i="1" s="1"/>
  <c r="S22" i="1" l="1"/>
  <c r="Q106" i="1" l="1"/>
  <c r="P106" i="1"/>
  <c r="O106" i="1"/>
  <c r="N106" i="1"/>
  <c r="M106" i="1"/>
  <c r="N117" i="1" a="1"/>
  <c r="N117" i="1" s="1"/>
  <c r="U7" i="1"/>
  <c r="N115" i="1"/>
  <c r="C105" i="1"/>
  <c r="D105" i="1"/>
  <c r="E105" i="1"/>
  <c r="F105" i="1"/>
  <c r="G105" i="1"/>
  <c r="H105" i="1"/>
  <c r="I105" i="1"/>
  <c r="J105" i="1"/>
  <c r="K105" i="1"/>
  <c r="R106" i="1" l="1"/>
  <c r="N30" i="1"/>
  <c r="O30" i="1"/>
  <c r="P30" i="1"/>
  <c r="Q30" i="1"/>
  <c r="M30" i="1"/>
  <c r="L30" i="1"/>
  <c r="L29" i="1"/>
  <c r="M29" i="1"/>
  <c r="N29" i="1"/>
  <c r="O29" i="1"/>
  <c r="P29" i="1"/>
  <c r="Q29" i="1"/>
  <c r="M20" i="1"/>
  <c r="N20" i="1"/>
  <c r="O20" i="1"/>
  <c r="P20" i="1"/>
  <c r="Q20" i="1"/>
  <c r="M21" i="1"/>
  <c r="N21" i="1"/>
  <c r="O21" i="1"/>
  <c r="P21" i="1"/>
  <c r="Q21" i="1"/>
  <c r="M4" i="1"/>
  <c r="L106" i="1"/>
  <c r="L21" i="1"/>
  <c r="L4" i="1"/>
  <c r="L20" i="1"/>
  <c r="T86" i="1"/>
  <c r="T102" i="1" a="1"/>
  <c r="T102" i="1" s="1"/>
  <c r="U22" i="1" s="1"/>
  <c r="T96" i="1" a="1"/>
  <c r="T96" i="1" s="1"/>
  <c r="N112" i="1"/>
  <c r="T91" i="1"/>
  <c r="T90" i="1"/>
  <c r="T92" i="1" s="1"/>
  <c r="T88" i="1"/>
  <c r="T87"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T22" i="1"/>
  <c r="T100" i="1"/>
  <c r="N113" i="1" s="1"/>
  <c r="R4" i="1"/>
  <c r="S19" i="1"/>
  <c r="T4" i="1"/>
  <c r="S4" i="1"/>
  <c r="U4" i="1"/>
  <c r="S16" i="1"/>
  <c r="T89" i="1"/>
  <c r="T93" i="1" s="1"/>
  <c r="T107" i="1"/>
  <c r="T104" i="1"/>
  <c r="T101" i="1" s="1"/>
  <c r="T103" i="1" l="1"/>
  <c r="U19" i="1" l="1"/>
  <c r="M109" i="1"/>
  <c r="N109" i="1"/>
  <c r="O109" i="1"/>
  <c r="P109" i="1" l="1"/>
  <c r="T95" i="1" l="1"/>
  <c r="T98" i="1" s="1"/>
  <c r="T106" i="1" s="1"/>
  <c r="T109" i="1" s="1"/>
  <c r="Q108" i="1" s="1"/>
  <c r="Q109" i="1" s="1"/>
  <c r="N111" i="1" s="1"/>
  <c r="N114" i="1" s="1"/>
  <c r="N116" i="1" s="1"/>
  <c r="N118" i="1" l="1"/>
  <c r="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<sst xmlns="http://schemas.openxmlformats.org/spreadsheetml/2006/main" count="422" uniqueCount="168">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</sst>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4" borderId="0" xfId="0" applyFill="1" applyAlignment="1">
      <alignment vertical="center"/>
    </xf>
    <xf numFmtId="0" fontId="0" fillId="0" borderId="0" xfId="0"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586E-2"/>
          <c:y val="0.14312577142586708"/>
          <c:w val="0.84953388429752075"/>
          <c:h val="0.629087180961544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1'!$B$3:$Q$3</c:f>
              <c:numCache>
                <c:formatCode>#,###,,;\(#,###,,\);\ \-\ \-</c:formatCode>
                <c:ptCount val="16"/>
                <c:pt idx="0">
                  <c:v>49920000</c:v>
                </c:pt>
                <c:pt idx="1">
                  <c:v>88846000</c:v>
                </c:pt>
                <c:pt idx="2">
                  <c:v>166919000</c:v>
                </c:pt>
                <c:pt idx="3">
                  <c:v>277335000</c:v>
                </c:pt>
                <c:pt idx="4">
                  <c:v>399020000</c:v>
                </c:pt>
                <c:pt idx="5">
                  <c:v>650067000</c:v>
                </c:pt>
                <c:pt idx="6">
                  <c:v>1134468000</c:v>
                </c:pt>
                <c:pt idx="7">
                  <c:v>1761776000</c:v>
                </c:pt>
                <c:pt idx="8">
                  <c:v>2841839000</c:v>
                </c:pt>
                <c:pt idx="9">
                  <c:v>3826321000</c:v>
                </c:pt>
                <c:pt idx="10">
                  <c:v>4062000000</c:v>
                </c:pt>
                <c:pt idx="11">
                  <c:v>4403000000</c:v>
                </c:pt>
                <c:pt idx="12">
                  <c:v>5126000000</c:v>
                </c:pt>
                <c:pt idx="13">
                  <c:v>5410000000</c:v>
                </c:pt>
                <c:pt idx="14">
                  <c:v>5951000000</c:v>
                </c:pt>
                <c:pt idx="15">
                  <c:v>6397000000</c:v>
                </c:pt>
              </c:numCache>
            </c:numRef>
          </c:val>
          <c:extLst>
            <c:ext xmlns:c16="http://schemas.microsoft.com/office/drawing/2014/chart" uri="{C3380CC4-5D6E-409C-BE32-E72D297353CC}">
              <c16:uniqueId val="{00000000-ED54-A045-ABB7-FF774DFD93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1'!$B$28:$Q$28</c:f>
              <c:numCache>
                <c:formatCode>#,###,,;\(#,###,,\);\ \-\ \-</c:formatCode>
                <c:ptCount val="16"/>
                <c:pt idx="0">
                  <c:v>-26854000</c:v>
                </c:pt>
                <c:pt idx="1">
                  <c:v>-26758000</c:v>
                </c:pt>
                <c:pt idx="2">
                  <c:v>-35504000</c:v>
                </c:pt>
                <c:pt idx="3">
                  <c:v>-41324000</c:v>
                </c:pt>
                <c:pt idx="4">
                  <c:v>-63708000</c:v>
                </c:pt>
                <c:pt idx="5">
                  <c:v>-121949000</c:v>
                </c:pt>
                <c:pt idx="6">
                  <c:v>-307063000</c:v>
                </c:pt>
                <c:pt idx="7">
                  <c:v>-490979000</c:v>
                </c:pt>
                <c:pt idx="8">
                  <c:v>-949900000</c:v>
                </c:pt>
                <c:pt idx="9">
                  <c:v>-1256145000</c:v>
                </c:pt>
                <c:pt idx="10">
                  <c:v>319000000</c:v>
                </c:pt>
                <c:pt idx="11">
                  <c:v>378000000</c:v>
                </c:pt>
                <c:pt idx="12">
                  <c:v>564000000</c:v>
                </c:pt>
                <c:pt idx="13">
                  <c:v>821000000</c:v>
                </c:pt>
                <c:pt idx="14">
                  <c:v>1043000000</c:v>
                </c:pt>
                <c:pt idx="15">
                  <c:v>1318000000</c:v>
                </c:pt>
              </c:numCache>
            </c:numRef>
          </c:val>
          <c:extLst>
            <c:ext xmlns:c16="http://schemas.microsoft.com/office/drawing/2014/chart" uri="{C3380CC4-5D6E-409C-BE32-E72D297353CC}">
              <c16:uniqueId val="{00000001-ED54-A045-ABB7-FF774DFD93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1'!$B$107:$Q$107</c:f>
              <c:numCache>
                <c:formatCode>#,###,,;\(#,###,,\);\ \-\ \-</c:formatCode>
                <c:ptCount val="16"/>
                <c:pt idx="0">
                  <c:v>-26074000</c:v>
                </c:pt>
                <c:pt idx="1">
                  <c:v>-22530000</c:v>
                </c:pt>
                <c:pt idx="2">
                  <c:v>-29380000</c:v>
                </c:pt>
                <c:pt idx="3">
                  <c:v>-16395000</c:v>
                </c:pt>
                <c:pt idx="4">
                  <c:v>-30078000</c:v>
                </c:pt>
                <c:pt idx="5">
                  <c:v>-16672000</c:v>
                </c:pt>
                <c:pt idx="6">
                  <c:v>-53242000</c:v>
                </c:pt>
                <c:pt idx="7">
                  <c:v>-26479000</c:v>
                </c:pt>
                <c:pt idx="8">
                  <c:v>-148213000</c:v>
                </c:pt>
                <c:pt idx="9">
                  <c:v>-300129000</c:v>
                </c:pt>
                <c:pt idx="10">
                  <c:v>531000000</c:v>
                </c:pt>
                <c:pt idx="11">
                  <c:v>643000000</c:v>
                </c:pt>
                <c:pt idx="12">
                  <c:v>818000000</c:v>
                </c:pt>
                <c:pt idx="13">
                  <c:v>1182000000</c:v>
                </c:pt>
                <c:pt idx="14">
                  <c:v>1471000000</c:v>
                </c:pt>
                <c:pt idx="15">
                  <c:v>1650000000</c:v>
                </c:pt>
              </c:numCache>
            </c:numRef>
          </c:val>
          <c:extLst>
            <c:ext xmlns:c16="http://schemas.microsoft.com/office/drawing/2014/chart" uri="{C3380CC4-5D6E-409C-BE32-E72D297353CC}">
              <c16:uniqueId val="{00000002-ED54-A045-ABB7-FF774DFD93DE}"/>
            </c:ext>
          </c:extLst>
        </c:ser>
        <c:dLbls>
          <c:showLegendKey val="0"/>
          <c:showVal val="0"/>
          <c:showCatName val="0"/>
          <c:showSerName val="0"/>
          <c:showPercent val="0"/>
          <c:showBubbleSize val="0"/>
        </c:dLbls>
        <c:gapWidth val="100"/>
        <c:overlap val="-24"/>
        <c:axId val="890336271"/>
        <c:axId val="890337055"/>
      </c:barChart>
      <c:catAx>
        <c:axId val="89033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7055"/>
        <c:crosses val="autoZero"/>
        <c:auto val="1"/>
        <c:lblAlgn val="ctr"/>
        <c:lblOffset val="100"/>
        <c:noMultiLvlLbl val="0"/>
      </c:catAx>
      <c:valAx>
        <c:axId val="8903370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6271"/>
        <c:crosses val="autoZero"/>
        <c:crossBetween val="between"/>
      </c:valAx>
      <c:spPr>
        <a:noFill/>
        <a:ln>
          <a:noFill/>
        </a:ln>
        <a:effectLst/>
      </c:spPr>
    </c:plotArea>
    <c:legend>
      <c:legendPos val="b"/>
      <c:layout>
        <c:manualLayout>
          <c:xMode val="edge"/>
          <c:yMode val="edge"/>
          <c:x val="0.34443209474848702"/>
          <c:y val="0.89875931563563971"/>
          <c:w val="0.31378033448298304"/>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109</xdr:row>
      <xdr:rowOff>33337</xdr:rowOff>
    </xdr:from>
    <xdr:to>
      <xdr:col>20</xdr:col>
      <xdr:colOff>15874</xdr:colOff>
      <xdr:row>126</xdr:row>
      <xdr:rowOff>15874</xdr:rowOff>
    </xdr:to>
    <xdr:graphicFrame macro="">
      <xdr:nvGraphicFramePr>
        <xdr:cNvPr id="3" name="Chart 2">
          <a:extLst>
            <a:ext uri="{FF2B5EF4-FFF2-40B4-BE49-F238E27FC236}">
              <a16:creationId xmlns:a16="http://schemas.microsoft.com/office/drawing/2014/main" id="{B2FCB083-E87A-784D-028F-B72A61CDB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41</v>
    <v>1.3284</v>
    <v>1.91</v>
    <v>3.6596999999999998E-2</v>
    <v>0.19</v>
    <v>3.5119999999999999E-3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54.53</v>
    <v>Software &amp; IT Services</v>
    <v>Stock</v>
    <v>45233.995777245313</v>
    <v>0</v>
    <v>53.02</v>
    <v>9798403000</v>
    <v>TWILIO INC.</v>
    <v>TWILIO INC.</v>
    <v>53.25</v>
    <v>52.19</v>
    <v>54.1</v>
    <v>54.29</v>
    <v>181116500</v>
    <v>TWLO</v>
    <v>TWILIO INC. (XNYS:TWLO)</v>
    <v>3623882</v>
    <v>1801097</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explorer/fcf_unlev_proj"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G96" activePane="bottomRight" state="frozen"/>
      <selection pane="topRight"/>
      <selection pane="bottomLeft"/>
      <selection pane="bottomRight" activeCell="K113" sqref="K113"/>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4062000000</v>
      </c>
      <c r="M3" s="27">
        <v>4403000000</v>
      </c>
      <c r="N3" s="27">
        <v>5126000000</v>
      </c>
      <c r="O3" s="27">
        <v>5410000000</v>
      </c>
      <c r="P3" s="27">
        <v>5951000000</v>
      </c>
      <c r="Q3" s="27">
        <v>6397000000</v>
      </c>
      <c r="R3" s="18" t="s">
        <v>107</v>
      </c>
      <c r="S3" s="19" t="s">
        <v>108</v>
      </c>
      <c r="T3" s="19" t="s">
        <v>109</v>
      </c>
      <c r="U3" s="19" t="s">
        <v>110</v>
      </c>
    </row>
    <row r="4" spans="1:43" ht="19" x14ac:dyDescent="0.25">
      <c r="A4" s="14" t="s">
        <v>93</v>
      </c>
      <c r="B4" s="1"/>
      <c r="C4" s="48">
        <f>(C3/B3)-1</f>
        <v>0.77976762820512824</v>
      </c>
      <c r="D4" s="48">
        <f>(D3/C3)-1</f>
        <v>0.87874524458051018</v>
      </c>
      <c r="E4" s="48">
        <f>(E3/D3)-1</f>
        <v>0.66149449733104082</v>
      </c>
      <c r="F4" s="48">
        <f t="shared" ref="F4:Q4" si="0">(F3/E3)-1</f>
        <v>0.43876539203490372</v>
      </c>
      <c r="G4" s="48">
        <f t="shared" si="0"/>
        <v>0.62915893940153378</v>
      </c>
      <c r="H4" s="48">
        <f t="shared" si="0"/>
        <v>0.74515549935622016</v>
      </c>
      <c r="I4" s="48">
        <f t="shared" si="0"/>
        <v>0.55295345483521796</v>
      </c>
      <c r="J4" s="48">
        <f t="shared" si="0"/>
        <v>0.613053532344634</v>
      </c>
      <c r="K4" s="48">
        <f t="shared" si="0"/>
        <v>0.34642426963666839</v>
      </c>
      <c r="L4" s="16">
        <f t="shared" si="0"/>
        <v>6.1594152712226791E-2</v>
      </c>
      <c r="M4" s="16">
        <f>(M3/L3)-1</f>
        <v>8.3948793697685931E-2</v>
      </c>
      <c r="N4" s="16">
        <f t="shared" si="0"/>
        <v>0.16420622302975252</v>
      </c>
      <c r="O4" s="16">
        <f t="shared" si="0"/>
        <v>5.5403823644166961E-2</v>
      </c>
      <c r="P4" s="16">
        <f t="shared" si="0"/>
        <v>0.10000000000000009</v>
      </c>
      <c r="Q4" s="16">
        <f t="shared" si="0"/>
        <v>7.4945387329860447E-2</v>
      </c>
      <c r="R4" s="17">
        <f>(K4+J4+L4)/3</f>
        <v>0.34035731823117638</v>
      </c>
      <c r="S4" s="17">
        <f>(K20+J20+L20)/3</f>
        <v>-0.14245835131729226</v>
      </c>
      <c r="T4" s="17">
        <f>(K29+J29+L29)/3</f>
        <v>1.0504951299961096E-3</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6">
        <v>1813577000</v>
      </c>
      <c r="L6" s="36">
        <f>L3*L7</f>
        <v>1979818800</v>
      </c>
      <c r="R6" s="57" t="s">
        <v>111</v>
      </c>
      <c r="S6" s="58" t="s">
        <v>112</v>
      </c>
      <c r="T6" s="58" t="s">
        <v>113</v>
      </c>
      <c r="U6" s="58"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v>0.4874</v>
      </c>
      <c r="R7" s="17">
        <f>L7</f>
        <v>0.4874</v>
      </c>
      <c r="S7" s="20">
        <f>L21</f>
        <v>0.16814377154111276</v>
      </c>
      <c r="T7" s="20">
        <f>L30</f>
        <v>7.8532742491383561E-2</v>
      </c>
      <c r="U7" s="20">
        <f>L107/L3</f>
        <v>0.13072378138847859</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4">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AVERAGE(H35:L35)</f>
        <v>0.14082796729970742</v>
      </c>
      <c r="S16" s="32">
        <f>T102/L3</f>
        <v>2.4122114721811916</v>
      </c>
      <c r="T16" s="32">
        <f>T102/L28</f>
        <v>30.715996865203763</v>
      </c>
      <c r="U16" s="33">
        <f>T102/L107</f>
        <v>18.452736346516009</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0">
        <v>683000000</v>
      </c>
      <c r="M19" s="30">
        <v>755000000</v>
      </c>
      <c r="N19" s="30">
        <v>983000000</v>
      </c>
      <c r="O19" s="30">
        <v>884800000</v>
      </c>
      <c r="P19" s="30">
        <v>1210000000</v>
      </c>
      <c r="Q19" s="30">
        <v>1333000000</v>
      </c>
      <c r="R19" s="29">
        <f>K40-K56-K61</f>
        <v>2927624000</v>
      </c>
      <c r="S19" s="32">
        <f>T102/M3</f>
        <v>2.2253924596865775</v>
      </c>
      <c r="T19" s="35">
        <f>T102/M28</f>
        <v>25.921701058201059</v>
      </c>
      <c r="U19" s="33">
        <f>T102/M107</f>
        <v>15.238573872472784</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-1.7333519445100607</v>
      </c>
      <c r="M20" s="16">
        <f t="shared" ref="M20" si="4">(M19/L19)-1</f>
        <v>0.10541727672035139</v>
      </c>
      <c r="N20" s="16">
        <f t="shared" ref="N20" si="5">(N19/M19)-1</f>
        <v>0.30198675496688732</v>
      </c>
      <c r="O20" s="16">
        <f t="shared" ref="O20" si="6">(O19/N19)-1</f>
        <v>-9.9898270600203509E-2</v>
      </c>
      <c r="P20" s="16">
        <f t="shared" ref="P20" si="7">(P19/O19)-1</f>
        <v>0.36754068716094035</v>
      </c>
      <c r="Q20" s="16">
        <f t="shared" ref="Q20" si="8">(Q19/P19)-1</f>
        <v>0.10165289256198351</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38">
        <f>L19/L3</f>
        <v>0.16814377154111276</v>
      </c>
      <c r="M21" s="39">
        <f t="shared" ref="M21:Q21" si="9">M19/M3</f>
        <v>0.17147399500340677</v>
      </c>
      <c r="N21" s="39">
        <f t="shared" si="9"/>
        <v>0.19176746000780334</v>
      </c>
      <c r="O21" s="39">
        <f t="shared" si="9"/>
        <v>0.16354898336414048</v>
      </c>
      <c r="P21" s="39">
        <f t="shared" si="9"/>
        <v>0.20332717190388169</v>
      </c>
      <c r="Q21" s="39">
        <f t="shared" si="9"/>
        <v>0.20837892762232296</v>
      </c>
      <c r="S21" s="49" t="s">
        <v>167</v>
      </c>
      <c r="T21" s="18" t="s">
        <v>164</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S22" s="17">
        <f>SUM(M29:Q29)/5</f>
        <v>0.33335093796254017</v>
      </c>
      <c r="T22" s="41">
        <f>(-1*L98)/T102</f>
        <v>0</v>
      </c>
      <c r="U22" s="42">
        <f>L105/T102</f>
        <v>6.0928296172345638E-2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1"/>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37">
        <v>319000000</v>
      </c>
      <c r="M28" s="37">
        <v>378000000</v>
      </c>
      <c r="N28" s="37">
        <v>564000000</v>
      </c>
      <c r="O28" s="37">
        <v>821000000</v>
      </c>
      <c r="P28" s="37">
        <v>1043000000</v>
      </c>
      <c r="Q28" s="37">
        <v>1318000000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-1.2539515740619116</v>
      </c>
      <c r="M29" s="16">
        <f t="shared" ref="M29" si="12">(M28/L28)-1</f>
        <v>0.1849529780564263</v>
      </c>
      <c r="N29" s="16">
        <f t="shared" ref="N29" si="13">(N28/M28)-1</f>
        <v>0.49206349206349209</v>
      </c>
      <c r="O29" s="16">
        <f t="shared" ref="O29" si="14">(O28/N28)-1</f>
        <v>0.45567375886524819</v>
      </c>
      <c r="P29" s="16">
        <f t="shared" ref="P29" si="15">(P28/O28)-1</f>
        <v>0.27040194884287461</v>
      </c>
      <c r="Q29" s="16">
        <f t="shared" ref="Q29" si="16">(Q28/P28)-1</f>
        <v>0.26366251198465962</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38">
        <f>L28/L3</f>
        <v>7.8532742491383561E-2</v>
      </c>
      <c r="M30" s="38">
        <f>M28/M3</f>
        <v>8.5850556438791734E-2</v>
      </c>
      <c r="N30" s="38">
        <f t="shared" ref="N30:Q30" si="17">N28/N3</f>
        <v>0.11002731174404994</v>
      </c>
      <c r="O30" s="38">
        <f t="shared" si="17"/>
        <v>0.15175600739371534</v>
      </c>
      <c r="P30" s="38">
        <f t="shared" si="17"/>
        <v>0.17526466140144514</v>
      </c>
      <c r="Q30" s="38">
        <f t="shared" si="17"/>
        <v>0.20603407847428482</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cm="1">
        <f t="array" ref="L33">_FV(A1,"Shares outstanding",TRUE)</f>
        <v>181116500</v>
      </c>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cm="1">
        <f t="array" ref="L34">_FV(A1,"Shares outstanding",TRUE)</f>
        <v>181116500</v>
      </c>
    </row>
    <row r="35" spans="1:39" ht="20" customHeight="1" x14ac:dyDescent="0.25">
      <c r="A35" s="14" t="s">
        <v>102</v>
      </c>
      <c r="B35" s="1"/>
      <c r="C35" s="21">
        <f>(C34-B34)/B34</f>
        <v>0.21201055076704345</v>
      </c>
      <c r="D35" s="21">
        <f t="shared" ref="D35:L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f t="shared" si="18"/>
        <v>-1.0260104758167039E-2</v>
      </c>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19" x14ac:dyDescent="0.25">
      <c r="A83" s="5" t="s">
        <v>34</v>
      </c>
      <c r="B83" s="1" t="s">
        <v>91</v>
      </c>
      <c r="C83" s="1" t="s">
        <v>91</v>
      </c>
      <c r="D83" s="1" t="s">
        <v>91</v>
      </c>
      <c r="E83" s="1" t="s">
        <v>91</v>
      </c>
      <c r="F83" s="1" t="s">
        <v>91</v>
      </c>
      <c r="G83" s="1" t="s">
        <v>91</v>
      </c>
      <c r="H83" s="1" t="s">
        <v>91</v>
      </c>
      <c r="I83" s="1" t="s">
        <v>91</v>
      </c>
      <c r="J83" s="1" t="s">
        <v>91</v>
      </c>
      <c r="K83" s="1" t="s">
        <v>91</v>
      </c>
      <c r="L83" s="1"/>
    </row>
    <row r="84" spans="1:47" ht="19" customHeight="1" x14ac:dyDescent="0.25">
      <c r="A84" s="5" t="s">
        <v>47</v>
      </c>
      <c r="B84" s="1">
        <v>-1401000</v>
      </c>
      <c r="C84" s="1">
        <v>1227000</v>
      </c>
      <c r="D84" s="1">
        <v>658000</v>
      </c>
      <c r="E84" s="1">
        <v>1714000</v>
      </c>
      <c r="F84" s="1">
        <v>5433000</v>
      </c>
      <c r="G84" s="1">
        <v>6980000</v>
      </c>
      <c r="H84" s="1">
        <v>17255000</v>
      </c>
      <c r="I84" s="1">
        <v>10060000</v>
      </c>
      <c r="J84" s="1">
        <v>10191000</v>
      </c>
      <c r="K84" s="1">
        <v>30336000</v>
      </c>
      <c r="L84" s="1"/>
      <c r="M84" s="51"/>
      <c r="N84" s="51"/>
      <c r="O84" s="51"/>
      <c r="P84" s="51"/>
      <c r="Q84" s="51"/>
      <c r="R84" s="51"/>
      <c r="S84" s="78" t="s">
        <v>124</v>
      </c>
      <c r="T84" s="79"/>
    </row>
    <row r="85" spans="1:47" ht="19" customHeight="1" x14ac:dyDescent="0.25">
      <c r="A85" s="5" t="s">
        <v>71</v>
      </c>
      <c r="B85" s="1">
        <v>1014000</v>
      </c>
      <c r="C85" s="1">
        <v>1632000</v>
      </c>
      <c r="D85" s="1">
        <v>1974000</v>
      </c>
      <c r="E85" s="1">
        <v>4076000</v>
      </c>
      <c r="F85" s="1">
        <v>3560000</v>
      </c>
      <c r="G85" s="1">
        <v>5958000</v>
      </c>
      <c r="H85" s="1">
        <v>2968000</v>
      </c>
      <c r="I85" s="1">
        <v>13824000</v>
      </c>
      <c r="J85" s="1">
        <v>45634000</v>
      </c>
      <c r="K85" s="1" t="s">
        <v>91</v>
      </c>
      <c r="L85" s="1"/>
      <c r="M85" s="51"/>
      <c r="N85" s="51"/>
      <c r="O85" s="51"/>
      <c r="P85" s="51"/>
      <c r="Q85" s="51"/>
      <c r="R85" s="51"/>
      <c r="S85" s="80" t="s">
        <v>125</v>
      </c>
      <c r="T85" s="80"/>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M86" s="51"/>
      <c r="N86" s="51"/>
      <c r="O86" s="51"/>
      <c r="P86" s="51"/>
      <c r="Q86" s="51"/>
      <c r="R86" s="51"/>
      <c r="S86" s="43" t="s">
        <v>126</v>
      </c>
      <c r="T86" s="62">
        <f>K17</f>
        <v>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M87" s="51"/>
      <c r="N87" s="51"/>
      <c r="O87" s="51"/>
      <c r="P87" s="51"/>
      <c r="Q87" s="51"/>
      <c r="R87" s="51"/>
      <c r="S87" s="43" t="s">
        <v>127</v>
      </c>
      <c r="T87" s="62">
        <f>K56</f>
        <v>54222000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M88" s="51"/>
      <c r="N88" s="51"/>
      <c r="O88" s="51"/>
      <c r="P88" s="51"/>
      <c r="Q88" s="51"/>
      <c r="R88" s="51"/>
      <c r="S88" s="43" t="s">
        <v>128</v>
      </c>
      <c r="T88" s="62">
        <f>K61</f>
        <v>1173223000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M89" s="51"/>
      <c r="N89" s="51"/>
      <c r="O89" s="51"/>
      <c r="P89" s="51"/>
      <c r="Q89" s="51"/>
      <c r="R89" s="51"/>
      <c r="S89" s="44" t="s">
        <v>129</v>
      </c>
      <c r="T89" s="63">
        <f>T86/(T87+T88)</f>
        <v>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M90" s="51"/>
      <c r="N90" s="51"/>
      <c r="O90" s="51"/>
      <c r="P90" s="51"/>
      <c r="Q90" s="51"/>
      <c r="R90" s="51"/>
      <c r="S90" s="43" t="s">
        <v>105</v>
      </c>
      <c r="T90" s="62">
        <f>K27</f>
        <v>12513000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M91" s="51"/>
      <c r="N91" s="51"/>
      <c r="O91" s="51"/>
      <c r="P91" s="51"/>
      <c r="Q91" s="51"/>
      <c r="R91" s="51"/>
      <c r="S91" s="43" t="s">
        <v>19</v>
      </c>
      <c r="T91" s="62">
        <f>K25</f>
        <v>-1243632000</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M92" s="51"/>
      <c r="N92" s="51"/>
      <c r="O92" s="51"/>
      <c r="P92" s="51"/>
      <c r="Q92" s="51"/>
      <c r="R92" s="51"/>
      <c r="S92" s="44" t="s">
        <v>130</v>
      </c>
      <c r="T92" s="63">
        <f>T90/T91</f>
        <v>-1.0061658111081092E-2</v>
      </c>
    </row>
    <row r="93" spans="1:47" ht="19" customHeight="1" x14ac:dyDescent="0.25">
      <c r="A93" s="5" t="s">
        <v>78</v>
      </c>
      <c r="B93" s="1" t="s">
        <v>91</v>
      </c>
      <c r="C93" s="1">
        <v>-170000</v>
      </c>
      <c r="D93" s="1" t="s">
        <v>91</v>
      </c>
      <c r="E93" s="1">
        <v>-7439000</v>
      </c>
      <c r="F93" s="1">
        <v>3118000</v>
      </c>
      <c r="G93" s="1" t="s">
        <v>91</v>
      </c>
      <c r="H93" s="1" t="s">
        <v>91</v>
      </c>
      <c r="I93" s="1">
        <v>-33328000</v>
      </c>
      <c r="J93" s="1">
        <v>-43973000</v>
      </c>
      <c r="K93" s="1">
        <v>-80182000</v>
      </c>
      <c r="L93" s="1"/>
      <c r="M93" s="51"/>
      <c r="N93" s="51"/>
      <c r="O93" s="51"/>
      <c r="P93" s="51"/>
      <c r="Q93" s="51"/>
      <c r="R93" s="51"/>
      <c r="S93" s="44" t="s">
        <v>131</v>
      </c>
      <c r="T93" s="63">
        <f>T89*(1-T92)</f>
        <v>0</v>
      </c>
    </row>
    <row r="94" spans="1:47" ht="19" customHeight="1"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M94" s="51"/>
      <c r="N94" s="51"/>
      <c r="O94" s="51"/>
      <c r="P94" s="51"/>
      <c r="Q94" s="51"/>
      <c r="R94" s="51"/>
      <c r="S94" s="80" t="s">
        <v>132</v>
      </c>
      <c r="T94" s="80"/>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M95" s="51"/>
      <c r="N95" s="51"/>
      <c r="O95" s="51"/>
      <c r="P95" s="51"/>
      <c r="Q95" s="51"/>
      <c r="R95" s="51"/>
      <c r="S95" s="43" t="s">
        <v>133</v>
      </c>
      <c r="T95" s="64">
        <f>'[1]US Treasury Bonds'!$C$8</f>
        <v>4.6689999999999995E-2</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M96" s="51"/>
      <c r="N96" s="51"/>
      <c r="O96" s="51"/>
      <c r="P96" s="51"/>
      <c r="Q96" s="51"/>
      <c r="R96" s="51"/>
      <c r="S96" s="43" t="s">
        <v>134</v>
      </c>
      <c r="T96" s="65" cm="1">
        <f t="array" ref="T96">_FV(A1,"Beta")</f>
        <v>1.3284</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M97" s="51"/>
      <c r="N97" s="51"/>
      <c r="O97" s="51"/>
      <c r="P97" s="51"/>
      <c r="Q97" s="51"/>
      <c r="R97" s="51"/>
      <c r="S97" s="43" t="s">
        <v>135</v>
      </c>
      <c r="T97" s="64">
        <v>8.4000000000000005E-2</v>
      </c>
    </row>
    <row r="98" spans="1:47" ht="19" customHeight="1" x14ac:dyDescent="0.25">
      <c r="A98" s="5" t="s">
        <v>83</v>
      </c>
      <c r="B98" s="1" t="s">
        <v>91</v>
      </c>
      <c r="C98" s="1" t="s">
        <v>91</v>
      </c>
      <c r="D98" s="1" t="s">
        <v>91</v>
      </c>
      <c r="E98" s="1" t="s">
        <v>91</v>
      </c>
      <c r="F98" s="1" t="s">
        <v>91</v>
      </c>
      <c r="G98" s="1" t="s">
        <v>91</v>
      </c>
      <c r="H98" s="1" t="s">
        <v>91</v>
      </c>
      <c r="I98" s="1" t="s">
        <v>91</v>
      </c>
      <c r="J98" s="1" t="s">
        <v>91</v>
      </c>
      <c r="K98" s="1" t="s">
        <v>91</v>
      </c>
      <c r="L98" s="1"/>
      <c r="M98" s="51"/>
      <c r="N98" s="51"/>
      <c r="O98" s="51"/>
      <c r="P98" s="51"/>
      <c r="Q98" s="51"/>
      <c r="R98" s="51"/>
      <c r="S98" s="44" t="s">
        <v>136</v>
      </c>
      <c r="T98" s="63">
        <f>(T95)+((T96)*(T97-T95))</f>
        <v>9.6252604000000019E-2</v>
      </c>
    </row>
    <row r="99" spans="1:47" ht="19" customHeight="1"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M99" s="51"/>
      <c r="N99" s="51"/>
      <c r="O99" s="51"/>
      <c r="P99" s="51"/>
      <c r="Q99" s="51"/>
      <c r="R99" s="51"/>
      <c r="S99" s="80" t="s">
        <v>137</v>
      </c>
      <c r="T99" s="80"/>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M100" s="51"/>
      <c r="N100" s="51"/>
      <c r="O100" s="51"/>
      <c r="P100" s="51"/>
      <c r="Q100" s="51"/>
      <c r="R100" s="51"/>
      <c r="S100" s="43" t="s">
        <v>138</v>
      </c>
      <c r="T100" s="62">
        <f>T87+T88</f>
        <v>1227445000</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M101" s="51"/>
      <c r="N101" s="51"/>
      <c r="O101" s="51"/>
      <c r="P101" s="51"/>
      <c r="Q101" s="51"/>
      <c r="R101" s="51"/>
      <c r="S101" s="44" t="s">
        <v>139</v>
      </c>
      <c r="T101" s="63">
        <f>T100/T104</f>
        <v>0.11132431718630621</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M102" s="51"/>
      <c r="N102" s="51"/>
      <c r="O102" s="51"/>
      <c r="P102" s="51"/>
      <c r="Q102" s="51"/>
      <c r="R102" s="51"/>
      <c r="S102" s="43" t="s">
        <v>140</v>
      </c>
      <c r="T102" s="66" cm="1">
        <f t="array" ref="T102">_FV(A1,"Market cap",TRUE)</f>
        <v>9798403000</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M103" s="51"/>
      <c r="N103" s="51"/>
      <c r="O103" s="51"/>
      <c r="P103" s="51"/>
      <c r="Q103" s="51"/>
      <c r="R103" s="51"/>
      <c r="S103" s="44" t="s">
        <v>141</v>
      </c>
      <c r="T103" s="63">
        <f>T102/T104</f>
        <v>0.8886756828136938</v>
      </c>
    </row>
    <row r="104" spans="1:47" ht="20" customHeight="1"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M104" s="82" t="s">
        <v>114</v>
      </c>
      <c r="N104" s="82"/>
      <c r="O104" s="82"/>
      <c r="P104" s="82"/>
      <c r="Q104" s="82"/>
      <c r="R104" s="51"/>
      <c r="S104" s="44" t="s">
        <v>142</v>
      </c>
      <c r="T104" s="67">
        <f>T100+T102</f>
        <v>11025848000</v>
      </c>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597000000</v>
      </c>
      <c r="M105" s="59">
        <f>M107/M3</f>
        <v>0.14603679309561662</v>
      </c>
      <c r="N105" s="59">
        <f>N107/N3</f>
        <v>0.15957861880608662</v>
      </c>
      <c r="O105" s="59">
        <f>O107/O3</f>
        <v>0.21848428835489833</v>
      </c>
      <c r="P105" s="59">
        <f>P107/P3</f>
        <v>0.24718534700050412</v>
      </c>
      <c r="Q105" s="59">
        <f>Q107/Q3</f>
        <v>0.2579334062841957</v>
      </c>
      <c r="R105" s="60" t="s">
        <v>165</v>
      </c>
      <c r="S105" s="80" t="s">
        <v>143</v>
      </c>
      <c r="T105" s="80"/>
      <c r="U105" s="15"/>
      <c r="AI105" s="15"/>
      <c r="AJ105" s="15"/>
      <c r="AK105" s="15"/>
      <c r="AL105" s="15"/>
      <c r="AM105" s="15"/>
      <c r="AN105" s="15"/>
      <c r="AO105" s="15"/>
      <c r="AP105" s="15"/>
      <c r="AQ105" s="15"/>
      <c r="AR105" s="15"/>
      <c r="AS105" s="15"/>
      <c r="AT105" s="24" t="s">
        <v>106</v>
      </c>
      <c r="AU105" s="25">
        <f>(AU100*AU92)+(AU102*AU97)</f>
        <v>0</v>
      </c>
    </row>
    <row r="106" spans="1:47" ht="20" x14ac:dyDescent="0.25">
      <c r="A106" s="14" t="s">
        <v>161</v>
      </c>
      <c r="B106" s="1"/>
      <c r="C106" s="15">
        <f t="shared" ref="C106:L106" si="22">(C107/B107)-1</f>
        <v>-0.13592084068420651</v>
      </c>
      <c r="D106" s="15">
        <f t="shared" si="22"/>
        <v>0.30403905903240114</v>
      </c>
      <c r="E106" s="15">
        <f t="shared" si="22"/>
        <v>-0.44196732471068756</v>
      </c>
      <c r="F106" s="15">
        <f t="shared" si="22"/>
        <v>0.83458371454711799</v>
      </c>
      <c r="G106" s="15">
        <f t="shared" si="22"/>
        <v>-0.44570782631823924</v>
      </c>
      <c r="H106" s="15">
        <f t="shared" si="22"/>
        <v>2.1934980806142033</v>
      </c>
      <c r="I106" s="15">
        <f t="shared" si="22"/>
        <v>-0.50266706735284172</v>
      </c>
      <c r="J106" s="15">
        <f t="shared" si="22"/>
        <v>4.5973790551002685</v>
      </c>
      <c r="K106" s="15">
        <f t="shared" si="22"/>
        <v>1.0249843131169332</v>
      </c>
      <c r="L106" s="15">
        <f t="shared" si="22"/>
        <v>-2.7692392271323332</v>
      </c>
      <c r="M106" s="52">
        <f>(M107/L107)-1</f>
        <v>0.21092278719397362</v>
      </c>
      <c r="N106" s="52">
        <f>(N107/M107)-1</f>
        <v>0.27216174183514785</v>
      </c>
      <c r="O106" s="52">
        <f>(O107/N107)-1</f>
        <v>0.44498777506112464</v>
      </c>
      <c r="P106" s="52">
        <f>(P107/O107)-1</f>
        <v>0.2445008460236886</v>
      </c>
      <c r="Q106" s="52">
        <f>(Q107/P107)-1</f>
        <v>0.12168592794017674</v>
      </c>
      <c r="R106" s="53">
        <f>SUM(M106:Q106)/5</f>
        <v>0.25885181561082227</v>
      </c>
      <c r="S106" s="45" t="s">
        <v>106</v>
      </c>
      <c r="T106" s="68">
        <f>(T101*T93)+(T103*T98)</f>
        <v>8.5537348582296099E-2</v>
      </c>
    </row>
    <row r="107" spans="1:47" ht="19" x14ac:dyDescent="0.25">
      <c r="A107" s="40"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54">
        <v>643000000</v>
      </c>
      <c r="N107" s="54">
        <v>818000000</v>
      </c>
      <c r="O107" s="54">
        <v>1182000000</v>
      </c>
      <c r="P107" s="54">
        <v>1471000000</v>
      </c>
      <c r="Q107" s="54">
        <v>1650000000</v>
      </c>
      <c r="R107" s="50" t="s">
        <v>163</v>
      </c>
      <c r="S107" s="69" t="s">
        <v>144</v>
      </c>
      <c r="T107" s="46">
        <f>(SUM(M4:Q4)/5)</f>
        <v>9.5700845540293192E-2</v>
      </c>
    </row>
    <row r="108" spans="1:47" ht="19" x14ac:dyDescent="0.2">
      <c r="M108" s="61"/>
      <c r="N108" s="61"/>
      <c r="O108" s="61"/>
      <c r="P108" s="61"/>
      <c r="Q108" s="55">
        <f>Q107*(1+T108)/(T109-T108)</f>
        <v>27937298867.671238</v>
      </c>
      <c r="R108" s="56" t="s">
        <v>145</v>
      </c>
      <c r="S108" s="70" t="s">
        <v>146</v>
      </c>
      <c r="T108" s="47">
        <v>2.5000000000000001E-2</v>
      </c>
    </row>
    <row r="109" spans="1:47" ht="19" x14ac:dyDescent="0.2">
      <c r="M109" s="55">
        <f t="shared" ref="M109:O109" si="23">M108+M107</f>
        <v>643000000</v>
      </c>
      <c r="N109" s="55">
        <f t="shared" si="23"/>
        <v>818000000</v>
      </c>
      <c r="O109" s="55">
        <f t="shared" si="23"/>
        <v>1182000000</v>
      </c>
      <c r="P109" s="55">
        <f>P108+P107</f>
        <v>1471000000</v>
      </c>
      <c r="Q109" s="55">
        <f>Q108+Q107</f>
        <v>29587298867.671238</v>
      </c>
      <c r="R109" s="56" t="s">
        <v>142</v>
      </c>
      <c r="S109" s="71" t="s">
        <v>147</v>
      </c>
      <c r="T109" s="46">
        <f>T106</f>
        <v>8.5537348582296099E-2</v>
      </c>
    </row>
    <row r="110" spans="1:47" ht="19" x14ac:dyDescent="0.2">
      <c r="M110" s="81" t="s">
        <v>148</v>
      </c>
      <c r="N110" s="81"/>
      <c r="O110" s="51"/>
      <c r="P110" s="51"/>
      <c r="Q110" s="51"/>
      <c r="R110" s="51"/>
      <c r="S110" s="51"/>
      <c r="T110" s="51"/>
    </row>
    <row r="111" spans="1:47" ht="20" x14ac:dyDescent="0.2">
      <c r="M111" s="72" t="s">
        <v>149</v>
      </c>
      <c r="N111" s="66">
        <f>NPV(T109,M109,N109,O109,P109,Q109)</f>
        <v>22898104410.682873</v>
      </c>
      <c r="O111" s="51"/>
      <c r="P111" s="51"/>
      <c r="Q111" s="51"/>
      <c r="R111" s="51"/>
      <c r="S111" s="51"/>
      <c r="T111" s="51"/>
    </row>
    <row r="112" spans="1:47" ht="20" x14ac:dyDescent="0.2">
      <c r="M112" s="72" t="s">
        <v>150</v>
      </c>
      <c r="N112" s="66">
        <f>K40</f>
        <v>4155069000</v>
      </c>
      <c r="O112" s="51"/>
      <c r="P112" s="51"/>
      <c r="Q112" s="51"/>
      <c r="R112" s="51"/>
      <c r="S112" s="51"/>
      <c r="T112" s="51"/>
    </row>
    <row r="113" spans="13:20" ht="20" x14ac:dyDescent="0.2">
      <c r="M113" s="72" t="s">
        <v>138</v>
      </c>
      <c r="N113" s="66">
        <f>T100</f>
        <v>1227445000</v>
      </c>
      <c r="O113" s="51"/>
      <c r="P113" s="51"/>
      <c r="Q113" s="51"/>
      <c r="R113" s="51"/>
      <c r="S113" s="51"/>
      <c r="T113" s="51"/>
    </row>
    <row r="114" spans="13:20" ht="20" x14ac:dyDescent="0.2">
      <c r="M114" s="72" t="s">
        <v>151</v>
      </c>
      <c r="N114" s="66">
        <f>N111+N112-N113</f>
        <v>25825728410.682873</v>
      </c>
      <c r="O114" s="51"/>
      <c r="P114" s="51"/>
      <c r="Q114" s="51"/>
      <c r="R114" s="51"/>
      <c r="S114" s="51"/>
      <c r="T114" s="51"/>
    </row>
    <row r="115" spans="13:20" ht="20" x14ac:dyDescent="0.2">
      <c r="M115" s="72" t="s">
        <v>152</v>
      </c>
      <c r="N115" s="72">
        <f>K34*(1+(5*R16))</f>
        <v>311847429.99752712</v>
      </c>
      <c r="O115" s="51"/>
      <c r="P115" s="51"/>
      <c r="Q115" s="51"/>
      <c r="R115" s="51"/>
      <c r="S115" s="51"/>
      <c r="T115" s="51"/>
    </row>
    <row r="116" spans="13:20" ht="20" x14ac:dyDescent="0.2">
      <c r="M116" s="73" t="s">
        <v>153</v>
      </c>
      <c r="N116" s="74">
        <f>N114/N115</f>
        <v>82.815267744511047</v>
      </c>
      <c r="O116" s="51"/>
      <c r="P116" s="51"/>
      <c r="Q116" s="51"/>
      <c r="R116" s="51"/>
      <c r="S116" s="51"/>
      <c r="T116" s="51"/>
    </row>
    <row r="117" spans="13:20" ht="20" x14ac:dyDescent="0.2">
      <c r="M117" s="72" t="s">
        <v>154</v>
      </c>
      <c r="N117" s="75" cm="1">
        <f t="array" ref="N117">_FV(A1,"Price")</f>
        <v>54.1</v>
      </c>
      <c r="O117" s="51"/>
      <c r="P117" s="51"/>
      <c r="Q117" s="51"/>
      <c r="R117" s="51"/>
      <c r="S117" s="51"/>
      <c r="T117" s="51"/>
    </row>
    <row r="118" spans="13:20" ht="20" x14ac:dyDescent="0.2">
      <c r="M118" s="73" t="s">
        <v>155</v>
      </c>
      <c r="N118" s="76">
        <f>N116/N117-1</f>
        <v>0.53078128917765333</v>
      </c>
      <c r="O118" s="51"/>
      <c r="P118" s="51"/>
      <c r="Q118" s="51"/>
      <c r="R118" s="51"/>
      <c r="S118" s="51"/>
      <c r="T118" s="51"/>
    </row>
    <row r="119" spans="13:20" ht="20" x14ac:dyDescent="0.2">
      <c r="M119" s="73" t="s">
        <v>156</v>
      </c>
      <c r="N119" s="77" t="str">
        <f>IF(N116&gt;N117,"BUY","SELL")</f>
        <v>BUY</v>
      </c>
      <c r="O119" s="51"/>
      <c r="P119" s="51"/>
      <c r="Q119" s="51"/>
      <c r="R119" s="51"/>
      <c r="S119" s="51"/>
      <c r="T119" s="51"/>
    </row>
  </sheetData>
  <mergeCells count="7">
    <mergeCell ref="S84:T84"/>
    <mergeCell ref="S85:T85"/>
    <mergeCell ref="M110:N110"/>
    <mergeCell ref="M104:Q104"/>
    <mergeCell ref="S105:T105"/>
    <mergeCell ref="S99:T99"/>
    <mergeCell ref="S94:T9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R107" r:id="rId23" xr:uid="{CC50150D-9459-A946-A829-8116BDB0C59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2023-02-16T22:45:31Z</dcterms:created>
  <dcterms:modified xsi:type="dcterms:W3CDTF">2023-11-05T06:27:49Z</dcterms:modified>
</cp:coreProperties>
</file>