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07C7C5FF-85D1-AC48-8E36-29E34882046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K4" i="2" a="1"/>
  <c r="K4" i="2" s="1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G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C3" i="2"/>
  <c r="O20" i="2" a="1"/>
  <c r="O20" i="2" s="1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G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3" i="2" l="1"/>
  <c r="E5" i="2"/>
  <c r="K16" i="2"/>
  <c r="K13" i="2"/>
  <c r="K11" i="2"/>
  <c r="O8" i="2"/>
  <c r="O12" i="2" s="1"/>
  <c r="O21" i="2"/>
  <c r="O22" i="2" s="1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<sst xmlns="http://schemas.openxmlformats.org/spreadsheetml/2006/main" count="1288" uniqueCount="252">
  <si>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</si>
  <si>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</si>
  <si>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</si>
  <si>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</si>
  <si>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</si>
  <si>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</si>
  <si>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</si>
  <si>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</si>
  <si>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</si>
  <si>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</si>
  <si>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</si>
  <si>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</si>
  <si>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</si>
  <si>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</si>
  <si>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</si>
  <si>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</si>
  <si>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</si>
  <si>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</si>
  <si>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</si>
  <si>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</si>
  <si>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</si>
  <si>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</si>
  <si>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</si>
  <si>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</si>
  <si>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</si>
  <si>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</si>
  <si>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</si>
  <si>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</si>
  <si>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</si>
  <si>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</si>
  <si>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</si>
  <si>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</si>
  <si>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</si>
  <si>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</si>
  <si>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</si>
  <si>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</si>
  <si>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</si>
  <si>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</si>
  <si>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</si>
  <si>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</si>
  <si>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</si>
  <si>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</si>
  <si>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</si>
  <si>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</si>
  <si>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</si>
  <si>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</si>
  <si>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</si>
  <si>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</si>
  <si>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</si>
  <si>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</si>
  <si>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</si>
  <si>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</si>
  <si>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</si>
  <si>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</si>
  <si>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</si>
  <si>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</si>
  <si>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</si>
  <si>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</si>
  <si>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</si>
  <si>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</si>
  <si>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</si>
  <si>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</si>
  <si>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</si>
  <si>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</si>
  <si>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</si>
  <si>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</si>
  <si>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</si>
  <si>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</si>
  <si>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</si>
  <si>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</si>
  <si>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</si>
  <si>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</si>
  <si>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</si>
  <si>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</si>
  <si>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</si>
  <si>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</si>
  <si>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</si>
  <si>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</si>
  <si>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</si>
  <si>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</si>
  <si>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</si>
  <si>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</si>
  <si>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</si>
  <si>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</si>
  <si>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</si>
  <si>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</si>
  <si>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</si>
  <si>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</si>
  <si>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</si>
  <si>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</si>
  <si>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</si>
  <si>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</si>
  <si>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</si>
  <si>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</si>
  <si>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</si>
  <si>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</si>
  <si>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</si>
  <si>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</si>
  <si>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</si>
  <si>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</si>
  <si>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</si>
  <si>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</si>
  <si>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</si>
  <si>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</si>
  <si>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</si>
  <si>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</si>
  <si>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</si>
  <si>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</si>
  <si>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</si>
  <si>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</si>
  <si>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</si>
  <si>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</si>
  <si>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</si>
  <si>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</si>
  <si>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</si>
  <si>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</si>
  <si>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</si>
  <si>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</si>
  <si>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</si>
  <si>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</si>
  <si>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</si>
  <si>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</si>
  <si>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</si>
  <si>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</si>
  <si>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</si>
  <si>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</si>
  <si>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</si>
  <si>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</si>
  <si>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</si>
  <si>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</si>
  <si>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</si>
  <si>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</si>
  <si>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</si>
  <si>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</si>
  <si>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</si>
  <si>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</si>
  <si>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</si>
  <si>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</si>
  <si>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</si>
  <si>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</si>
  <si>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</si>
  <si>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</si>
  <si>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</si>
  <si>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</si>
  <si>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</si>
  <si>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</si>
  <si>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</si>
  <si>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</si>
  <si>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</si>
  <si>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</si>
  <si>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</si>
  <si>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</si>
  <si>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</si>
  <si>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</si>
  <si>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</si>
  <si>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</si>
  <si>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</si>
  <si>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</si>
  <si>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</si>
  <si>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</si>
  <si>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</si>
  <si>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</si>
  <si>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</si>
  <si>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</si>
  <si>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</si>
  <si>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</si>
  <si>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</si>
  <si>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</si>
  <si>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</si>
  <si>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</si>
  <si>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</si>
  <si>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</si>
  <si>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</si>
  <si>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</si>
  <si>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</si>
  <si>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</si>
  <si>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</si>
  <si>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</si>
  <si>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</si>
  <si>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</si>
  <si>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</si>
  <si>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</si>
  <si>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</si>
  <si>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</si>
  <si>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</si>
  <si>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</si>
  <si>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</si>
  <si>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</si>
  <si>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</si>
  <si>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</si>
  <si>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</si>
  <si>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</si>
  <si>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</si>
  <si>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</si>
  <si>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</si>
  <si>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</si>
  <si>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</si>
  <si>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</si>
  <si>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</si>
  <si>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</si>
  <si>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</si>
  <si>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</si>
  <si>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</si>
  <si>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</si>
  <si>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</si>
  <si>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</si>
  <si>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</si>
  <si>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</si>
  <si>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</si>
  <si>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</si>
  <si>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</si>
  <si>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</si>
  <si>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</si>
  <si>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</si>
  <si>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</si>
  <si>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</si>
  <si>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</si>
  <si>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</si>
  <si>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</si>
  <si>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</si>
  <si>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</si>
  <si>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</si>
  <si>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</si>
  <si>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</si>
  <si>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</si>
  <si>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</si>
  <si>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</si>
  <si>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</si>
  <si>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</si>
  <si>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</si>
  <si>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</si>
  <si>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</si>
  <si>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</si>
  <si>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</si>
  <si>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</si>
  <si>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</si>
  <si>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</si>
  <si>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</si>
  <si>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</si>
  <si>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</si>
  <si>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</si>
  <si>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</si>
  <si>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</si>
  <si>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</si>
  <si>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</si>
  <si>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</si>
  <si>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</si>
  <si>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</si>
  <si>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</si>
  <si>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 (0%)</t>
  </si>
  <si>
    <t>Profit Margin</t>
  </si>
  <si>
    <t>Daily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</si>
</sst>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1" fillId="12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" fillId="12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horizontal="right" vertical="center" indent="1"/>
    </xf>
    <xf numFmtId="9" fontId="4" fillId="11" borderId="5" xfId="1" applyFont="1" applyFill="1" applyBorder="1" applyAlignment="1">
      <alignment horizontal="right" vertical="center" indent="1"/>
    </xf>
    <xf numFmtId="0" fontId="12" fillId="12" borderId="1" xfId="0" applyFont="1" applyFill="1" applyBorder="1" applyAlignment="1">
      <alignment horizontal="left" vertical="center" indent="1"/>
    </xf>
    <xf numFmtId="0" fontId="12" fillId="11" borderId="6" xfId="0" applyFont="1" applyFill="1" applyBorder="1" applyAlignment="1">
      <alignment horizontal="left" vertical="center" indent="2"/>
    </xf>
    <xf numFmtId="10" fontId="12" fillId="11" borderId="7" xfId="1" applyNumberFormat="1" applyFont="1" applyFill="1" applyBorder="1" applyAlignment="1">
      <alignment horizontal="right" vertical="center" indent="1"/>
    </xf>
    <xf numFmtId="10" fontId="12" fillId="11" borderId="6" xfId="1" applyNumberFormat="1" applyFont="1" applyFill="1" applyBorder="1" applyAlignment="1">
      <alignment horizontal="right" vertical="center" indent="1"/>
    </xf>
    <xf numFmtId="10" fontId="12" fillId="11" borderId="8" xfId="1" applyNumberFormat="1" applyFont="1" applyFill="1" applyBorder="1" applyAlignment="1">
      <alignment horizontal="right" vertical="center" indent="1"/>
    </xf>
    <xf numFmtId="164" fontId="4" fillId="9" borderId="9" xfId="0" applyNumberFormat="1" applyFont="1" applyFill="1" applyBorder="1" applyAlignment="1">
      <alignment horizontal="right" vertical="center" indent="1"/>
    </xf>
    <xf numFmtId="9" fontId="12" fillId="10" borderId="10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0" fontId="12" fillId="10" borderId="10" xfId="1" applyNumberFormat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4" fontId="4" fillId="9" borderId="11" xfId="0" applyNumberFormat="1" applyFont="1" applyFill="1" applyBorder="1" applyAlignment="1">
      <alignment horizontal="right" vertical="center" indent="1"/>
    </xf>
    <xf numFmtId="9" fontId="12" fillId="10" borderId="11" xfId="1" applyFont="1" applyFill="1" applyBorder="1" applyAlignment="1">
      <alignment horizontal="left" vertical="center" indent="1"/>
    </xf>
    <xf numFmtId="10" fontId="4" fillId="9" borderId="12" xfId="1" applyNumberFormat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4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164" fontId="4" fillId="9" borderId="15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6" xfId="1" applyNumberFormat="1" applyFont="1" applyFill="1" applyBorder="1" applyAlignment="1">
      <alignment horizontal="left" vertical="center" indent="1"/>
    </xf>
    <xf numFmtId="9" fontId="25" fillId="10" borderId="15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6" xfId="1" applyFont="1" applyFill="1" applyBorder="1" applyAlignment="1">
      <alignment horizontal="left" vertical="center" indent="1"/>
    </xf>
    <xf numFmtId="167" fontId="4" fillId="9" borderId="14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16" xfId="1" applyFont="1" applyFill="1" applyBorder="1" applyAlignment="1">
      <alignment horizontal="left" vertical="center" indent="1"/>
    </xf>
    <xf numFmtId="167" fontId="4" fillId="9" borderId="17" xfId="0" applyNumberFormat="1" applyFont="1" applyFill="1" applyBorder="1" applyAlignment="1">
      <alignment horizontal="right" vertical="center" indent="1"/>
    </xf>
    <xf numFmtId="9" fontId="12" fillId="10" borderId="18" xfId="1" applyFont="1" applyFill="1" applyBorder="1" applyAlignment="1">
      <alignment horizontal="left" vertical="center" indent="1"/>
    </xf>
    <xf numFmtId="165" fontId="4" fillId="9" borderId="19" xfId="1" applyNumberFormat="1" applyFont="1" applyFill="1" applyBorder="1" applyAlignment="1">
      <alignment horizontal="right" vertical="center" indent="1"/>
    </xf>
    <xf numFmtId="9" fontId="4" fillId="9" borderId="19" xfId="1" applyFont="1" applyFill="1" applyBorder="1" applyAlignment="1">
      <alignment horizontal="right" vertical="center" indent="1"/>
    </xf>
    <xf numFmtId="2" fontId="4" fillId="9" borderId="18" xfId="0" applyNumberFormat="1" applyFont="1" applyFill="1" applyBorder="1" applyAlignment="1">
      <alignment horizontal="right" vertical="center" indent="1"/>
    </xf>
    <xf numFmtId="0" fontId="12" fillId="10" borderId="18" xfId="1" applyNumberFormat="1" applyFont="1" applyFill="1" applyBorder="1" applyAlignment="1">
      <alignment horizontal="left" vertical="center" indent="1"/>
    </xf>
    <xf numFmtId="165" fontId="4" fillId="14" borderId="19" xfId="1" applyNumberFormat="1" applyFont="1" applyFill="1" applyBorder="1" applyAlignment="1">
      <alignment horizontal="right" vertical="center" indent="1"/>
    </xf>
    <xf numFmtId="9" fontId="16" fillId="10" borderId="18" xfId="1" applyFont="1" applyFill="1" applyBorder="1" applyAlignment="1">
      <alignment horizontal="left" vertical="center" indent="1"/>
    </xf>
    <xf numFmtId="9" fontId="3" fillId="13" borderId="19" xfId="1" applyFont="1" applyFill="1" applyBorder="1" applyAlignment="1">
      <alignment horizontal="right" vertical="center" indent="1"/>
    </xf>
    <xf numFmtId="9" fontId="15" fillId="10" borderId="20" xfId="1" applyFont="1" applyFill="1" applyBorder="1" applyAlignment="1">
      <alignment horizontal="left" vertical="center" indent="1"/>
    </xf>
    <xf numFmtId="9" fontId="4" fillId="12" borderId="5" xfId="1" applyFont="1" applyFill="1" applyBorder="1" applyAlignment="1">
      <alignment horizontal="left" indent="1"/>
    </xf>
    <xf numFmtId="0" fontId="3" fillId="9" borderId="21" xfId="0" applyFont="1" applyFill="1" applyBorder="1" applyAlignment="1">
      <alignment horizontal="right" vertical="center"/>
    </xf>
    <xf numFmtId="0" fontId="19" fillId="9" borderId="22" xfId="0" applyFont="1" applyFill="1" applyBorder="1" applyAlignment="1">
      <alignment horizontal="right" vertical="center" indent="1"/>
    </xf>
    <xf numFmtId="0" fontId="19" fillId="9" borderId="23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5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2" fillId="11" borderId="5" xfId="1" applyFont="1" applyFill="1" applyBorder="1" applyAlignment="1">
      <alignment horizontal="left" vertical="center" indent="2"/>
    </xf>
    <xf numFmtId="9" fontId="4" fillId="11" borderId="15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1" borderId="5" xfId="0" applyFont="1" applyFill="1" applyBorder="1" applyAlignment="1">
      <alignment horizontal="left" vertical="center" indent="1"/>
    </xf>
    <xf numFmtId="9" fontId="19" fillId="10" borderId="25" xfId="1" applyFont="1" applyFill="1" applyBorder="1" applyAlignment="1">
      <alignment horizontal="left" vertical="center" indent="2"/>
    </xf>
    <xf numFmtId="9" fontId="4" fillId="10" borderId="26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0" fontId="13" fillId="11" borderId="5" xfId="0" applyFont="1" applyFill="1" applyBorder="1" applyAlignment="1">
      <alignment horizontal="left" vertical="center" wrapText="1"/>
    </xf>
    <xf numFmtId="164" fontId="14" fillId="11" borderId="15" xfId="0" applyNumberFormat="1" applyFont="1" applyFill="1" applyBorder="1" applyAlignment="1">
      <alignment vertical="center"/>
    </xf>
    <xf numFmtId="0" fontId="17" fillId="11" borderId="5" xfId="0" applyFont="1" applyFill="1" applyBorder="1" applyAlignment="1">
      <alignment horizontal="left" vertical="center" wrapText="1"/>
    </xf>
    <xf numFmtId="10" fontId="18" fillId="11" borderId="15" xfId="0" applyNumberFormat="1" applyFont="1" applyFill="1" applyBorder="1" applyAlignment="1">
      <alignment vertical="center"/>
    </xf>
    <xf numFmtId="10" fontId="14" fillId="11" borderId="15" xfId="0" applyNumberFormat="1" applyFont="1" applyFill="1" applyBorder="1" applyAlignment="1">
      <alignment vertical="center"/>
    </xf>
    <xf numFmtId="2" fontId="14" fillId="11" borderId="15" xfId="0" applyNumberFormat="1" applyFont="1" applyFill="1" applyBorder="1" applyAlignment="1">
      <alignment vertical="center"/>
    </xf>
    <xf numFmtId="0" fontId="17" fillId="11" borderId="25" xfId="0" applyFont="1" applyFill="1" applyBorder="1" applyAlignment="1">
      <alignment horizontal="left" vertical="center" wrapText="1"/>
    </xf>
    <xf numFmtId="10" fontId="18" fillId="11" borderId="27" xfId="0" applyNumberFormat="1" applyFont="1" applyFill="1" applyBorder="1" applyAlignment="1">
      <alignment vertical="center"/>
    </xf>
    <xf numFmtId="164" fontId="14" fillId="11" borderId="15" xfId="0" applyNumberFormat="1" applyFont="1" applyFill="1" applyBorder="1" applyAlignment="1">
      <alignment horizontal="right" vertical="center"/>
    </xf>
    <xf numFmtId="10" fontId="18" fillId="11" borderId="15" xfId="0" applyNumberFormat="1" applyFont="1" applyFill="1" applyBorder="1" applyAlignment="1">
      <alignment horizontal="right" vertical="center"/>
    </xf>
    <xf numFmtId="10" fontId="18" fillId="11" borderId="27" xfId="0" applyNumberFormat="1" applyFont="1" applyFill="1" applyBorder="1" applyAlignment="1">
      <alignment horizontal="right" vertical="center"/>
    </xf>
    <xf numFmtId="9" fontId="4" fillId="10" borderId="25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19" fillId="9" borderId="25" xfId="1" applyNumberFormat="1" applyFont="1" applyFill="1" applyBorder="1" applyAlignment="1">
      <alignment horizontal="center" vertical="center"/>
    </xf>
    <xf numFmtId="10" fontId="19" fillId="9" borderId="27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1" borderId="6" xfId="1" applyFont="1" applyFill="1" applyBorder="1" applyAlignment="1">
      <alignment horizontal="center" vertical="center"/>
    </xf>
    <xf numFmtId="9" fontId="19" fillId="11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wrapText="1" indent="3"/>
    </xf>
    <xf numFmtId="0" fontId="12" fillId="12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Quality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4.4160000000000005E-2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74</v>
    <v>1.8637999999999999</v>
    <v>0.89</v>
    <v>9.4979999999999995E-3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94.86</v>
    <v>Textiles &amp; Apparel</v>
    <v>Stock</v>
    <v>45254.916580960155</v>
    <v>0</v>
    <v>93.394999999999996</v>
    <v>5728997000</v>
    <v>CROCS, INC.</v>
    <v>CROCS, INC.</v>
    <v>93.73</v>
    <v>8.7119999999999997</v>
    <v>93.7</v>
    <v>94.59</v>
    <v>60566620</v>
    <v>CROX</v>
    <v>CROCS, INC. (XNAS:CROX)</v>
    <v>437545</v>
    <v>1623425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CROX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CRO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opLeftCell="A147" workbookViewId="0">
      <pane xSplit="1" topLeftCell="J1" activePane="topRight" state="frozen"/>
      <selection pane="topRight" activeCell="J21" sqref="J21"/>
    </sheetView>
  </sheetViews>
  <sheetFormatPr baseColWidth="10" defaultRowHeight="15" x14ac:dyDescent="0.2"/>
  <cols>
    <col min="1" max="1" width="40.83203125" customWidth="1"/>
    <col min="2" max="20" width="15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" x14ac:dyDescent="0.2">
      <c r="A2" s="28" t="s">
        <v>18</v>
      </c>
      <c r="B2" s="26">
        <v>789695000</v>
      </c>
      <c r="C2" s="26">
        <v>1000903000</v>
      </c>
      <c r="D2" s="26">
        <v>1123301000</v>
      </c>
      <c r="E2" s="26">
        <v>1192680000</v>
      </c>
      <c r="F2" s="26">
        <v>1198223000</v>
      </c>
      <c r="G2" s="26">
        <v>1090630000</v>
      </c>
      <c r="H2" s="26">
        <v>1036273000</v>
      </c>
      <c r="I2" s="26">
        <v>1023513000</v>
      </c>
      <c r="J2" s="26">
        <v>1088205000</v>
      </c>
      <c r="K2" s="26">
        <v>1230593000</v>
      </c>
      <c r="L2" s="26">
        <v>1385951000</v>
      </c>
      <c r="M2" s="26">
        <v>2313416000</v>
      </c>
      <c r="N2" s="26">
        <v>3554985000</v>
      </c>
      <c r="O2" s="27">
        <v>3886789000</v>
      </c>
      <c r="P2" s="26">
        <v>985094000</v>
      </c>
      <c r="Q2" s="26">
        <v>945162000</v>
      </c>
      <c r="R2" s="26">
        <v>884166000</v>
      </c>
      <c r="S2" s="26">
        <v>1072367000</v>
      </c>
    </row>
    <row r="3" spans="1:19" ht="16" x14ac:dyDescent="0.2">
      <c r="A3" s="9" t="s">
        <v>191</v>
      </c>
      <c r="B3" s="10"/>
      <c r="C3" s="11">
        <f t="shared" ref="C3:O3" si="0">(C2/B2)-1</f>
        <v>0.26745515673772791</v>
      </c>
      <c r="D3" s="11">
        <f t="shared" si="0"/>
        <v>0.12228757432038861</v>
      </c>
      <c r="E3" s="11">
        <f t="shared" si="0"/>
        <v>6.1763498830678554E-2</v>
      </c>
      <c r="F3" s="11">
        <f t="shared" si="0"/>
        <v>4.6475165174229005E-3</v>
      </c>
      <c r="G3" s="11">
        <f t="shared" si="0"/>
        <v>-8.9793802989927562E-2</v>
      </c>
      <c r="H3" s="11">
        <f t="shared" si="0"/>
        <v>-4.9840000733521017E-2</v>
      </c>
      <c r="I3" s="11">
        <f t="shared" si="0"/>
        <v>-1.2313357580483131E-2</v>
      </c>
      <c r="J3" s="11">
        <f t="shared" si="0"/>
        <v>6.3205841059175594E-2</v>
      </c>
      <c r="K3" s="11">
        <f t="shared" si="0"/>
        <v>0.1308466695153947</v>
      </c>
      <c r="L3" s="11">
        <f t="shared" si="0"/>
        <v>0.12624645191383332</v>
      </c>
      <c r="M3" s="11">
        <f t="shared" si="0"/>
        <v>0.6691903249104767</v>
      </c>
      <c r="N3" s="11">
        <f t="shared" si="0"/>
        <v>0.53668211856406289</v>
      </c>
      <c r="O3" s="11">
        <f t="shared" si="0"/>
        <v>9.3334852327084272E-2</v>
      </c>
      <c r="P3" s="11"/>
      <c r="Q3" s="11">
        <f>(Q2/P2)-1</f>
        <v>-4.0536233090446183E-2</v>
      </c>
      <c r="R3" s="11">
        <f>(R2/Q2)-1</f>
        <v>-6.4534968608556009E-2</v>
      </c>
      <c r="S3" s="11">
        <f>(S2/R2)-1</f>
        <v>0.21285708792240365</v>
      </c>
    </row>
    <row r="4" spans="1:19" ht="16" x14ac:dyDescent="0.2">
      <c r="A4" s="3" t="s">
        <v>19</v>
      </c>
      <c r="B4" s="4">
        <v>789695000</v>
      </c>
      <c r="C4" s="4">
        <v>1000903000</v>
      </c>
      <c r="D4" s="4">
        <v>1123301000</v>
      </c>
      <c r="E4" s="4">
        <v>1192680000</v>
      </c>
      <c r="F4" s="4">
        <v>1198223000</v>
      </c>
      <c r="G4" s="4">
        <v>1090630000</v>
      </c>
      <c r="H4" s="4">
        <v>1036273000</v>
      </c>
      <c r="I4" s="4">
        <v>1023513000</v>
      </c>
      <c r="J4" s="4">
        <v>1088205000</v>
      </c>
      <c r="K4" s="4">
        <v>1230593000</v>
      </c>
      <c r="L4" s="4">
        <v>1385951000</v>
      </c>
      <c r="M4" s="4">
        <v>2313416000</v>
      </c>
      <c r="N4" s="4">
        <v>3554985000</v>
      </c>
      <c r="O4" s="5">
        <v>3886789000</v>
      </c>
      <c r="P4" s="4">
        <v>985094000</v>
      </c>
      <c r="Q4" s="4">
        <v>945162000</v>
      </c>
      <c r="R4" s="4">
        <v>884166000</v>
      </c>
      <c r="S4" s="4">
        <v>1072367000</v>
      </c>
    </row>
    <row r="5" spans="1:19" ht="16" x14ac:dyDescent="0.2">
      <c r="A5" s="3" t="s">
        <v>20</v>
      </c>
      <c r="B5" s="4">
        <v>365931000</v>
      </c>
      <c r="C5" s="4">
        <v>464493000</v>
      </c>
      <c r="D5" s="4">
        <v>515324000</v>
      </c>
      <c r="E5" s="4">
        <v>569482000</v>
      </c>
      <c r="F5" s="4">
        <v>607878000</v>
      </c>
      <c r="G5" s="4">
        <v>579825000</v>
      </c>
      <c r="H5" s="4">
        <v>536109000</v>
      </c>
      <c r="I5" s="4">
        <v>506292000</v>
      </c>
      <c r="J5" s="4">
        <v>528051000</v>
      </c>
      <c r="K5" s="4">
        <v>613537000</v>
      </c>
      <c r="L5" s="4">
        <v>636003000</v>
      </c>
      <c r="M5" s="4">
        <v>893196000</v>
      </c>
      <c r="N5" s="4">
        <v>1694703000</v>
      </c>
      <c r="O5" s="5">
        <v>1751487000</v>
      </c>
      <c r="P5" s="4">
        <v>443792000</v>
      </c>
      <c r="Q5" s="4">
        <v>448839000</v>
      </c>
      <c r="R5" s="4">
        <v>407796000</v>
      </c>
      <c r="S5" s="4">
        <v>451060000</v>
      </c>
    </row>
    <row r="6" spans="1:19" ht="16" x14ac:dyDescent="0.2">
      <c r="A6" s="3" t="s">
        <v>21</v>
      </c>
      <c r="B6" s="4">
        <v>365931000</v>
      </c>
      <c r="C6" s="4">
        <v>464493000</v>
      </c>
      <c r="D6" s="4">
        <v>515324000</v>
      </c>
      <c r="E6" s="4">
        <v>569482000</v>
      </c>
      <c r="F6" s="4">
        <v>607878000</v>
      </c>
      <c r="G6" s="4">
        <v>579825000</v>
      </c>
      <c r="H6" s="4">
        <v>536109000</v>
      </c>
      <c r="I6" s="4">
        <v>506292000</v>
      </c>
      <c r="J6" s="4">
        <v>528051000</v>
      </c>
      <c r="K6" s="4">
        <v>613537000</v>
      </c>
      <c r="L6" s="4">
        <v>636003000</v>
      </c>
      <c r="M6" s="4">
        <v>893196000</v>
      </c>
      <c r="N6" s="4">
        <v>1694703000</v>
      </c>
      <c r="O6" s="5">
        <v>1751487000</v>
      </c>
      <c r="P6" s="4">
        <v>443792000</v>
      </c>
      <c r="Q6" s="4">
        <v>448839000</v>
      </c>
      <c r="R6" s="4">
        <v>407796000</v>
      </c>
      <c r="S6" s="4">
        <v>451060000</v>
      </c>
    </row>
    <row r="7" spans="1:19" ht="16" x14ac:dyDescent="0.2">
      <c r="A7" s="28" t="s">
        <v>22</v>
      </c>
      <c r="B7" s="26">
        <v>423764000</v>
      </c>
      <c r="C7" s="26">
        <v>536410000</v>
      </c>
      <c r="D7" s="26">
        <v>607977000</v>
      </c>
      <c r="E7" s="26">
        <v>623198000</v>
      </c>
      <c r="F7" s="26">
        <v>590345000</v>
      </c>
      <c r="G7" s="26">
        <v>510805000</v>
      </c>
      <c r="H7" s="26">
        <v>500164000</v>
      </c>
      <c r="I7" s="26">
        <v>517221000</v>
      </c>
      <c r="J7" s="26">
        <v>560154000</v>
      </c>
      <c r="K7" s="26">
        <v>617056000</v>
      </c>
      <c r="L7" s="26">
        <v>749948000</v>
      </c>
      <c r="M7" s="26">
        <v>1420220000</v>
      </c>
      <c r="N7" s="26">
        <v>1860282000</v>
      </c>
      <c r="O7" s="27">
        <v>2135302000</v>
      </c>
      <c r="P7" s="26">
        <v>541302000</v>
      </c>
      <c r="Q7" s="26">
        <v>496323000</v>
      </c>
      <c r="R7" s="26">
        <v>476370000</v>
      </c>
      <c r="S7" s="26">
        <v>621307000</v>
      </c>
    </row>
    <row r="8" spans="1:19" ht="16" x14ac:dyDescent="0.2">
      <c r="A8" s="31" t="s">
        <v>58</v>
      </c>
      <c r="B8" s="32">
        <v>53.66</v>
      </c>
      <c r="C8" s="32">
        <v>53.59</v>
      </c>
      <c r="D8" s="32">
        <v>54.12</v>
      </c>
      <c r="E8" s="32">
        <v>52.25</v>
      </c>
      <c r="F8" s="32">
        <v>49.27</v>
      </c>
      <c r="G8" s="32">
        <v>46.84</v>
      </c>
      <c r="H8" s="32">
        <v>48.27</v>
      </c>
      <c r="I8" s="32">
        <v>50.53</v>
      </c>
      <c r="J8" s="32">
        <v>51.48</v>
      </c>
      <c r="K8" s="32">
        <v>50.14</v>
      </c>
      <c r="L8" s="32">
        <v>54.11</v>
      </c>
      <c r="M8" s="32">
        <v>61.39</v>
      </c>
      <c r="N8" s="32">
        <v>52.33</v>
      </c>
      <c r="O8" s="33">
        <v>54.94</v>
      </c>
      <c r="P8" s="32">
        <v>54.95</v>
      </c>
      <c r="Q8" s="32">
        <v>52.51</v>
      </c>
      <c r="R8" s="32">
        <v>53.88</v>
      </c>
      <c r="S8" s="32">
        <v>57.94</v>
      </c>
    </row>
    <row r="9" spans="1:19" ht="16" x14ac:dyDescent="0.2">
      <c r="A9" s="3" t="s">
        <v>23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24</v>
      </c>
      <c r="P9" s="4" t="s">
        <v>24</v>
      </c>
      <c r="Q9" s="4" t="s">
        <v>24</v>
      </c>
      <c r="R9" s="4" t="s">
        <v>24</v>
      </c>
      <c r="S9" s="4" t="s">
        <v>24</v>
      </c>
    </row>
    <row r="10" spans="1:19" ht="16" x14ac:dyDescent="0.2">
      <c r="A10" s="3" t="s">
        <v>25</v>
      </c>
      <c r="B10" s="4">
        <v>340049000</v>
      </c>
      <c r="C10" s="4">
        <v>404803000</v>
      </c>
      <c r="D10" s="4">
        <v>460393000</v>
      </c>
      <c r="E10" s="4">
        <v>549154000</v>
      </c>
      <c r="F10" s="4">
        <v>565712000</v>
      </c>
      <c r="G10" s="4">
        <v>559095000</v>
      </c>
      <c r="H10" s="4">
        <v>503174000</v>
      </c>
      <c r="I10" s="4">
        <v>499885000</v>
      </c>
      <c r="J10" s="4">
        <v>497210000</v>
      </c>
      <c r="K10" s="4">
        <v>488407000</v>
      </c>
      <c r="L10" s="4">
        <v>535824000</v>
      </c>
      <c r="M10" s="4">
        <v>737156000</v>
      </c>
      <c r="N10" s="4">
        <v>1009526000</v>
      </c>
      <c r="O10" s="5">
        <v>1097770000</v>
      </c>
      <c r="P10" s="4">
        <v>277239000</v>
      </c>
      <c r="Q10" s="4">
        <v>276271000</v>
      </c>
      <c r="R10" s="4">
        <v>241442000</v>
      </c>
      <c r="S10" s="4">
        <v>302818000</v>
      </c>
    </row>
    <row r="11" spans="1:19" ht="16" x14ac:dyDescent="0.2">
      <c r="A11" s="3" t="s">
        <v>26</v>
      </c>
      <c r="B11" s="4">
        <v>342961000</v>
      </c>
      <c r="C11" s="4">
        <v>404803000</v>
      </c>
      <c r="D11" s="4">
        <v>460393000</v>
      </c>
      <c r="E11" s="4">
        <v>549154000</v>
      </c>
      <c r="F11" s="4">
        <v>565712000</v>
      </c>
      <c r="G11" s="4">
        <v>559095000</v>
      </c>
      <c r="H11" s="4">
        <v>503174000</v>
      </c>
      <c r="I11" s="4">
        <v>499885000</v>
      </c>
      <c r="J11" s="4">
        <v>497210000</v>
      </c>
      <c r="K11" s="4">
        <v>488407000</v>
      </c>
      <c r="L11" s="4">
        <v>535824000</v>
      </c>
      <c r="M11" s="4">
        <v>737156000</v>
      </c>
      <c r="N11" s="4">
        <v>1009526000</v>
      </c>
      <c r="O11" s="5">
        <v>1097770000</v>
      </c>
      <c r="P11" s="4">
        <v>277239000</v>
      </c>
      <c r="Q11" s="4">
        <v>276271000</v>
      </c>
      <c r="R11" s="4">
        <v>241442000</v>
      </c>
      <c r="S11" s="4">
        <v>302818000</v>
      </c>
    </row>
    <row r="12" spans="1:19" ht="16" x14ac:dyDescent="0.2">
      <c r="A12" s="12" t="s">
        <v>192</v>
      </c>
      <c r="B12" s="11">
        <f t="shared" ref="B12:S12" si="1">B11/B2</f>
        <v>0.43429551915612991</v>
      </c>
      <c r="C12" s="11">
        <f t="shared" si="1"/>
        <v>0.40443779267321611</v>
      </c>
      <c r="D12" s="11">
        <f t="shared" si="1"/>
        <v>0.40985719767008133</v>
      </c>
      <c r="E12" s="11">
        <f t="shared" si="1"/>
        <v>0.46043699902740048</v>
      </c>
      <c r="F12" s="11">
        <f t="shared" si="1"/>
        <v>0.47212580629815987</v>
      </c>
      <c r="G12" s="11">
        <f t="shared" si="1"/>
        <v>0.51263489909501847</v>
      </c>
      <c r="H12" s="11">
        <f t="shared" si="1"/>
        <v>0.48556123724153771</v>
      </c>
      <c r="I12" s="11">
        <f t="shared" si="1"/>
        <v>0.48840122206557218</v>
      </c>
      <c r="J12" s="11">
        <f t="shared" si="1"/>
        <v>0.45690839501748293</v>
      </c>
      <c r="K12" s="11">
        <f t="shared" si="1"/>
        <v>0.39688751683131629</v>
      </c>
      <c r="L12" s="11">
        <f t="shared" si="1"/>
        <v>0.38661107066555744</v>
      </c>
      <c r="M12" s="11">
        <f t="shared" si="1"/>
        <v>0.31864394471206214</v>
      </c>
      <c r="N12" s="11">
        <f t="shared" si="1"/>
        <v>0.283974756574219</v>
      </c>
      <c r="O12" s="11">
        <f t="shared" si="1"/>
        <v>0.28243622177586691</v>
      </c>
      <c r="P12" s="11">
        <f t="shared" si="1"/>
        <v>0.28143405603932214</v>
      </c>
      <c r="Q12" s="11">
        <f t="shared" si="1"/>
        <v>0.29230015595210135</v>
      </c>
      <c r="R12" s="11">
        <f t="shared" si="1"/>
        <v>0.2730731559458292</v>
      </c>
      <c r="S12" s="11">
        <f t="shared" si="1"/>
        <v>0.28238280364837787</v>
      </c>
    </row>
    <row r="13" spans="1:19" ht="16" x14ac:dyDescent="0.2">
      <c r="A13" s="3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16" x14ac:dyDescent="0.2">
      <c r="A14" s="12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</row>
    <row r="15" spans="1:19" ht="16" x14ac:dyDescent="0.2">
      <c r="A15" s="3" t="s">
        <v>28</v>
      </c>
      <c r="B15" s="4">
        <v>-2912000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5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ht="16" x14ac:dyDescent="0.2">
      <c r="A16" s="28" t="s">
        <v>29</v>
      </c>
      <c r="B16" s="26">
        <v>83715000</v>
      </c>
      <c r="C16" s="26">
        <v>131607000</v>
      </c>
      <c r="D16" s="26">
        <v>147584000</v>
      </c>
      <c r="E16" s="26">
        <v>74044000</v>
      </c>
      <c r="F16" s="26">
        <v>24633000</v>
      </c>
      <c r="G16" s="26">
        <v>-48290000</v>
      </c>
      <c r="H16" s="26">
        <v>-3010000</v>
      </c>
      <c r="I16" s="26">
        <v>17336000</v>
      </c>
      <c r="J16" s="26">
        <v>62944000</v>
      </c>
      <c r="K16" s="26">
        <v>128649000</v>
      </c>
      <c r="L16" s="26">
        <v>214124000</v>
      </c>
      <c r="M16" s="26">
        <v>683064000</v>
      </c>
      <c r="N16" s="26">
        <v>850756000</v>
      </c>
      <c r="O16" s="27">
        <v>1037532000</v>
      </c>
      <c r="P16" s="26">
        <v>264063000</v>
      </c>
      <c r="Q16" s="26">
        <v>220052000</v>
      </c>
      <c r="R16" s="26">
        <v>234928000</v>
      </c>
      <c r="S16" s="26">
        <v>318489000</v>
      </c>
    </row>
    <row r="17" spans="1:19" ht="16" x14ac:dyDescent="0.2">
      <c r="A17" s="23" t="s">
        <v>59</v>
      </c>
      <c r="B17" s="29">
        <v>10.6</v>
      </c>
      <c r="C17" s="29">
        <v>13.15</v>
      </c>
      <c r="D17" s="29">
        <v>13.14</v>
      </c>
      <c r="E17" s="29">
        <v>6.21</v>
      </c>
      <c r="F17" s="29">
        <v>2.06</v>
      </c>
      <c r="G17" s="29">
        <v>-4.43</v>
      </c>
      <c r="H17" s="29">
        <v>-0.28999999999999998</v>
      </c>
      <c r="I17" s="29">
        <v>1.69</v>
      </c>
      <c r="J17" s="29">
        <v>5.78</v>
      </c>
      <c r="K17" s="29">
        <v>10.45</v>
      </c>
      <c r="L17" s="29">
        <v>15.45</v>
      </c>
      <c r="M17" s="29">
        <v>29.53</v>
      </c>
      <c r="N17" s="29">
        <v>23.93</v>
      </c>
      <c r="O17" s="30">
        <v>26.69</v>
      </c>
      <c r="P17" s="29">
        <v>26.81</v>
      </c>
      <c r="Q17" s="29">
        <v>23.28</v>
      </c>
      <c r="R17" s="29">
        <v>26.57</v>
      </c>
      <c r="S17" s="29">
        <v>29.7</v>
      </c>
    </row>
    <row r="18" spans="1:19" ht="16" x14ac:dyDescent="0.2">
      <c r="A18" s="13" t="s">
        <v>194</v>
      </c>
      <c r="B18" s="10"/>
      <c r="C18" s="11">
        <f>(C16/B16)-1</f>
        <v>0.57208385593979583</v>
      </c>
      <c r="D18" s="11">
        <f>(D16/C16)-1</f>
        <v>0.12139931766547374</v>
      </c>
      <c r="E18" s="11">
        <f>(E16/D16)-1</f>
        <v>-0.49829249783174323</v>
      </c>
      <c r="F18" s="11">
        <f t="shared" ref="F18:N18" si="3">(F16/E16)-1</f>
        <v>-0.66731943168926589</v>
      </c>
      <c r="G18" s="11">
        <f t="shared" si="3"/>
        <v>-2.9603783542402469</v>
      </c>
      <c r="H18" s="11">
        <f t="shared" si="3"/>
        <v>-0.93766825429695588</v>
      </c>
      <c r="I18" s="11">
        <f t="shared" si="3"/>
        <v>-6.7594684385382058</v>
      </c>
      <c r="J18" s="11">
        <f t="shared" si="3"/>
        <v>2.6308260267651131</v>
      </c>
      <c r="K18" s="11">
        <f t="shared" si="3"/>
        <v>1.0438643873919675</v>
      </c>
      <c r="L18" s="11">
        <f t="shared" si="3"/>
        <v>0.66440469805439606</v>
      </c>
      <c r="M18" s="11">
        <f t="shared" si="3"/>
        <v>2.1900394164129198</v>
      </c>
      <c r="N18" s="11">
        <f t="shared" si="3"/>
        <v>0.24549968963376778</v>
      </c>
      <c r="O18" s="11">
        <f>(O16/N16)-1</f>
        <v>0.21954120805495347</v>
      </c>
      <c r="P18" s="11"/>
      <c r="Q18" s="11">
        <f>(Q16/P16)-1</f>
        <v>-0.16666856015420561</v>
      </c>
      <c r="R18" s="11">
        <f>(R16/Q16)-1</f>
        <v>6.7602203115627146E-2</v>
      </c>
      <c r="S18" s="11">
        <f>(S16/R16)-1</f>
        <v>0.35568770006129546</v>
      </c>
    </row>
    <row r="19" spans="1:19" ht="16" x14ac:dyDescent="0.2">
      <c r="A19" s="3" t="s">
        <v>30</v>
      </c>
      <c r="B19" s="4">
        <v>2923000</v>
      </c>
      <c r="C19" s="4">
        <v>-5083000</v>
      </c>
      <c r="D19" s="4">
        <v>2036000</v>
      </c>
      <c r="E19" s="4">
        <v>14085000</v>
      </c>
      <c r="F19" s="4">
        <v>33182000</v>
      </c>
      <c r="G19" s="4">
        <v>26454000</v>
      </c>
      <c r="H19" s="4">
        <v>4203000</v>
      </c>
      <c r="I19" s="4">
        <v>-844000</v>
      </c>
      <c r="J19" s="4">
        <v>-2213000</v>
      </c>
      <c r="K19" s="4">
        <v>9327000</v>
      </c>
      <c r="L19" s="4">
        <v>7145000</v>
      </c>
      <c r="M19" s="4">
        <v>19215000</v>
      </c>
      <c r="N19" s="4">
        <v>132248000</v>
      </c>
      <c r="O19" s="5">
        <v>163380000</v>
      </c>
      <c r="P19" s="4">
        <v>34488000</v>
      </c>
      <c r="Q19" s="4">
        <v>44483000</v>
      </c>
      <c r="R19" s="4">
        <v>43162000</v>
      </c>
      <c r="S19" s="4">
        <v>41247000</v>
      </c>
    </row>
    <row r="20" spans="1:19" ht="16" x14ac:dyDescent="0.2">
      <c r="A20" s="3" t="s">
        <v>31</v>
      </c>
      <c r="B20" s="4">
        <v>657000</v>
      </c>
      <c r="C20" s="4">
        <v>-104000</v>
      </c>
      <c r="D20" s="4">
        <v>-860000</v>
      </c>
      <c r="E20" s="4">
        <v>-1416000</v>
      </c>
      <c r="F20" s="4">
        <v>-858000</v>
      </c>
      <c r="G20" s="4">
        <v>2000</v>
      </c>
      <c r="H20" s="4">
        <v>144000</v>
      </c>
      <c r="I20" s="4">
        <v>-1000</v>
      </c>
      <c r="J20" s="4">
        <v>-326000</v>
      </c>
      <c r="K20" s="4">
        <v>8035000</v>
      </c>
      <c r="L20" s="4">
        <v>6527000</v>
      </c>
      <c r="M20" s="4">
        <v>20872000</v>
      </c>
      <c r="N20" s="4">
        <v>135138000</v>
      </c>
      <c r="O20" s="5">
        <v>168092000</v>
      </c>
      <c r="P20" s="4">
        <v>34111000</v>
      </c>
      <c r="Q20" s="4">
        <v>49000000</v>
      </c>
      <c r="R20" s="4">
        <v>42466000</v>
      </c>
      <c r="S20" s="4">
        <v>42515000</v>
      </c>
    </row>
    <row r="21" spans="1:19" ht="16" x14ac:dyDescent="0.2">
      <c r="A21" s="3" t="s">
        <v>32</v>
      </c>
      <c r="B21" s="4">
        <v>657000</v>
      </c>
      <c r="C21" s="4">
        <v>853000</v>
      </c>
      <c r="D21" s="4">
        <v>837000</v>
      </c>
      <c r="E21" s="4">
        <v>1016000</v>
      </c>
      <c r="F21" s="4">
        <v>806000</v>
      </c>
      <c r="G21" s="4">
        <v>969000</v>
      </c>
      <c r="H21" s="4">
        <v>836000</v>
      </c>
      <c r="I21" s="4">
        <v>869000</v>
      </c>
      <c r="J21" s="4">
        <v>955000</v>
      </c>
      <c r="K21" s="4">
        <v>8636000</v>
      </c>
      <c r="L21" s="4">
        <v>6742000</v>
      </c>
      <c r="M21" s="4">
        <v>21647000</v>
      </c>
      <c r="N21" s="4">
        <v>136158000</v>
      </c>
      <c r="O21" s="5">
        <v>169643000</v>
      </c>
      <c r="P21" s="4">
        <v>34142000</v>
      </c>
      <c r="Q21" s="4">
        <v>49801000</v>
      </c>
      <c r="R21" s="4">
        <v>42637000</v>
      </c>
      <c r="S21" s="4">
        <v>43063000</v>
      </c>
    </row>
    <row r="22" spans="1:19" ht="16" x14ac:dyDescent="0.2">
      <c r="A22" s="3" t="s">
        <v>33</v>
      </c>
      <c r="B22" s="4" t="s">
        <v>24</v>
      </c>
      <c r="C22" s="4">
        <v>957000</v>
      </c>
      <c r="D22" s="4">
        <v>1697000</v>
      </c>
      <c r="E22" s="4">
        <v>2432000</v>
      </c>
      <c r="F22" s="4">
        <v>1664000</v>
      </c>
      <c r="G22" s="4">
        <v>967000</v>
      </c>
      <c r="H22" s="4">
        <v>692000</v>
      </c>
      <c r="I22" s="4">
        <v>870000</v>
      </c>
      <c r="J22" s="4">
        <v>1281000</v>
      </c>
      <c r="K22" s="4">
        <v>601000</v>
      </c>
      <c r="L22" s="4">
        <v>215000</v>
      </c>
      <c r="M22" s="4">
        <v>775000</v>
      </c>
      <c r="N22" s="4">
        <v>1020000</v>
      </c>
      <c r="O22" s="5">
        <v>1551000</v>
      </c>
      <c r="P22" s="4">
        <v>31000</v>
      </c>
      <c r="Q22" s="4">
        <v>801000</v>
      </c>
      <c r="R22" s="4">
        <v>171000</v>
      </c>
      <c r="S22" s="4">
        <v>548000</v>
      </c>
    </row>
    <row r="23" spans="1:19" ht="16" x14ac:dyDescent="0.2">
      <c r="A23" s="3" t="s">
        <v>34</v>
      </c>
      <c r="B23" s="4">
        <v>2266000</v>
      </c>
      <c r="C23" s="4">
        <v>-4979000</v>
      </c>
      <c r="D23" s="4">
        <v>2896000</v>
      </c>
      <c r="E23" s="4">
        <v>15501000</v>
      </c>
      <c r="F23" s="4">
        <v>34040000</v>
      </c>
      <c r="G23" s="4">
        <v>26452000</v>
      </c>
      <c r="H23" s="4">
        <v>4059000</v>
      </c>
      <c r="I23" s="4">
        <v>-843000</v>
      </c>
      <c r="J23" s="4">
        <v>-1887000</v>
      </c>
      <c r="K23" s="4">
        <v>1292000</v>
      </c>
      <c r="L23" s="4">
        <v>618000</v>
      </c>
      <c r="M23" s="4">
        <v>-1657000</v>
      </c>
      <c r="N23" s="4">
        <v>-2890000</v>
      </c>
      <c r="O23" s="5">
        <v>-4712000</v>
      </c>
      <c r="P23" s="4">
        <v>377000</v>
      </c>
      <c r="Q23" s="4">
        <v>-4517000</v>
      </c>
      <c r="R23" s="4">
        <v>696000</v>
      </c>
      <c r="S23" s="4">
        <v>-1268000</v>
      </c>
    </row>
    <row r="24" spans="1:19" ht="16" x14ac:dyDescent="0.2">
      <c r="A24" s="3" t="s">
        <v>35</v>
      </c>
      <c r="B24" s="4">
        <v>80792000</v>
      </c>
      <c r="C24" s="4">
        <v>136690000</v>
      </c>
      <c r="D24" s="4">
        <v>145548000</v>
      </c>
      <c r="E24" s="4">
        <v>59959000</v>
      </c>
      <c r="F24" s="4">
        <v>-8549000</v>
      </c>
      <c r="G24" s="4">
        <v>-74744000</v>
      </c>
      <c r="H24" s="4">
        <v>-7213000</v>
      </c>
      <c r="I24" s="4">
        <v>18180000</v>
      </c>
      <c r="J24" s="4">
        <v>65157000</v>
      </c>
      <c r="K24" s="4">
        <v>119322000</v>
      </c>
      <c r="L24" s="4">
        <v>206979000</v>
      </c>
      <c r="M24" s="4">
        <v>663849000</v>
      </c>
      <c r="N24" s="4">
        <v>718508000</v>
      </c>
      <c r="O24" s="5">
        <v>874152000</v>
      </c>
      <c r="P24" s="4">
        <v>229575000</v>
      </c>
      <c r="Q24" s="4">
        <v>175569000</v>
      </c>
      <c r="R24" s="4">
        <v>191766000</v>
      </c>
      <c r="S24" s="4">
        <v>277242000</v>
      </c>
    </row>
    <row r="25" spans="1:19" ht="16" x14ac:dyDescent="0.2">
      <c r="A25" s="3" t="s">
        <v>36</v>
      </c>
      <c r="B25" s="4">
        <v>13066000</v>
      </c>
      <c r="C25" s="4">
        <v>23902000</v>
      </c>
      <c r="D25" s="4">
        <v>14205000</v>
      </c>
      <c r="E25" s="4">
        <v>49539000</v>
      </c>
      <c r="F25" s="4">
        <v>-3623000</v>
      </c>
      <c r="G25" s="4">
        <v>8452000</v>
      </c>
      <c r="H25" s="4">
        <v>9281000</v>
      </c>
      <c r="I25" s="4">
        <v>7942000</v>
      </c>
      <c r="J25" s="4">
        <v>14720000</v>
      </c>
      <c r="K25" s="4">
        <v>-175000</v>
      </c>
      <c r="L25" s="4">
        <v>-105882000</v>
      </c>
      <c r="M25" s="4">
        <v>-61845000</v>
      </c>
      <c r="N25" s="4">
        <v>178349000</v>
      </c>
      <c r="O25" s="5">
        <v>205113000</v>
      </c>
      <c r="P25" s="4">
        <v>60226000</v>
      </c>
      <c r="Q25" s="4">
        <v>37834000</v>
      </c>
      <c r="R25" s="4">
        <v>42223000</v>
      </c>
      <c r="S25" s="4">
        <v>64830000</v>
      </c>
    </row>
    <row r="26" spans="1:19" ht="16" x14ac:dyDescent="0.2">
      <c r="A26" s="3" t="s">
        <v>37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5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ht="16" x14ac:dyDescent="0.2">
      <c r="A27" s="3" t="s">
        <v>38</v>
      </c>
      <c r="B27" s="4">
        <v>67726000</v>
      </c>
      <c r="C27" s="4">
        <v>112788000</v>
      </c>
      <c r="D27" s="4">
        <v>131343000</v>
      </c>
      <c r="E27" s="4">
        <v>10420000</v>
      </c>
      <c r="F27" s="4">
        <v>-4926000</v>
      </c>
      <c r="G27" s="4">
        <v>-83196000</v>
      </c>
      <c r="H27" s="4">
        <v>-16494000</v>
      </c>
      <c r="I27" s="4">
        <v>10238000</v>
      </c>
      <c r="J27" s="4">
        <v>50437000</v>
      </c>
      <c r="K27" s="4">
        <v>119497000</v>
      </c>
      <c r="L27" s="4">
        <v>312861000</v>
      </c>
      <c r="M27" s="4">
        <v>725694000</v>
      </c>
      <c r="N27" s="4">
        <v>540159000</v>
      </c>
      <c r="O27" s="5">
        <v>669039000</v>
      </c>
      <c r="P27" s="4">
        <v>169349000</v>
      </c>
      <c r="Q27" s="4">
        <v>137735000</v>
      </c>
      <c r="R27" s="4">
        <v>149543000</v>
      </c>
      <c r="S27" s="4">
        <v>212412000</v>
      </c>
    </row>
    <row r="28" spans="1:19" ht="16" x14ac:dyDescent="0.2">
      <c r="A28" s="3" t="s">
        <v>39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5" t="s">
        <v>24</v>
      </c>
      <c r="P28" s="4" t="s">
        <v>24</v>
      </c>
      <c r="Q28" s="4" t="s">
        <v>24</v>
      </c>
      <c r="R28" s="4" t="s">
        <v>24</v>
      </c>
      <c r="S28" s="4" t="s">
        <v>24</v>
      </c>
    </row>
    <row r="29" spans="1:19" ht="16" x14ac:dyDescent="0.2">
      <c r="A29" s="3" t="s">
        <v>40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5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ht="16" x14ac:dyDescent="0.2">
      <c r="A30" s="3" t="s">
        <v>41</v>
      </c>
      <c r="B30" s="4" t="s">
        <v>24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5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19" ht="16" x14ac:dyDescent="0.2">
      <c r="A31" s="3" t="s">
        <v>42</v>
      </c>
      <c r="B31" s="4">
        <v>67726000</v>
      </c>
      <c r="C31" s="4">
        <v>112788000</v>
      </c>
      <c r="D31" s="4">
        <v>131343000</v>
      </c>
      <c r="E31" s="4">
        <v>10420000</v>
      </c>
      <c r="F31" s="4">
        <v>-4926000</v>
      </c>
      <c r="G31" s="4">
        <v>-83196000</v>
      </c>
      <c r="H31" s="4">
        <v>-16494000</v>
      </c>
      <c r="I31" s="4">
        <v>10238000</v>
      </c>
      <c r="J31" s="4">
        <v>50437000</v>
      </c>
      <c r="K31" s="4">
        <v>119497000</v>
      </c>
      <c r="L31" s="4">
        <v>312861000</v>
      </c>
      <c r="M31" s="4">
        <v>725694000</v>
      </c>
      <c r="N31" s="4">
        <v>540159000</v>
      </c>
      <c r="O31" s="5">
        <v>669039000</v>
      </c>
      <c r="P31" s="4">
        <v>169349000</v>
      </c>
      <c r="Q31" s="4">
        <v>137735000</v>
      </c>
      <c r="R31" s="4">
        <v>149543000</v>
      </c>
      <c r="S31" s="4">
        <v>212412000</v>
      </c>
    </row>
    <row r="32" spans="1:19" ht="16" x14ac:dyDescent="0.2">
      <c r="A32" s="3" t="s">
        <v>43</v>
      </c>
      <c r="B32" s="4" t="s">
        <v>24</v>
      </c>
      <c r="C32" s="4" t="s">
        <v>24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5" t="s">
        <v>24</v>
      </c>
      <c r="P32" s="4" t="s">
        <v>24</v>
      </c>
      <c r="Q32" s="4" t="s">
        <v>24</v>
      </c>
      <c r="R32" s="4" t="s">
        <v>24</v>
      </c>
      <c r="S32" s="4" t="s">
        <v>24</v>
      </c>
    </row>
    <row r="33" spans="1:19" ht="16" x14ac:dyDescent="0.2">
      <c r="A33" s="28" t="s">
        <v>44</v>
      </c>
      <c r="B33" s="26">
        <v>67726000</v>
      </c>
      <c r="C33" s="26">
        <v>112788000</v>
      </c>
      <c r="D33" s="26">
        <v>131343000</v>
      </c>
      <c r="E33" s="26">
        <v>10420000</v>
      </c>
      <c r="F33" s="26">
        <v>-4926000</v>
      </c>
      <c r="G33" s="26">
        <v>-83196000</v>
      </c>
      <c r="H33" s="26">
        <v>-16494000</v>
      </c>
      <c r="I33" s="26">
        <v>10238000</v>
      </c>
      <c r="J33" s="26">
        <v>50437000</v>
      </c>
      <c r="K33" s="26">
        <v>119497000</v>
      </c>
      <c r="L33" s="26">
        <v>312861000</v>
      </c>
      <c r="M33" s="26">
        <v>725694000</v>
      </c>
      <c r="N33" s="26">
        <v>540159000</v>
      </c>
      <c r="O33" s="27">
        <v>669039000</v>
      </c>
      <c r="P33" s="26">
        <v>169349000</v>
      </c>
      <c r="Q33" s="26">
        <v>137735000</v>
      </c>
      <c r="R33" s="26">
        <v>149543000</v>
      </c>
      <c r="S33" s="26">
        <v>212412000</v>
      </c>
    </row>
    <row r="34" spans="1:19" ht="16" x14ac:dyDescent="0.2">
      <c r="A34" s="23" t="s">
        <v>60</v>
      </c>
      <c r="B34" s="29">
        <v>8.58</v>
      </c>
      <c r="C34" s="29">
        <v>11.27</v>
      </c>
      <c r="D34" s="29">
        <v>11.69</v>
      </c>
      <c r="E34" s="29">
        <v>0.87</v>
      </c>
      <c r="F34" s="29">
        <v>-0.41</v>
      </c>
      <c r="G34" s="29">
        <v>-7.63</v>
      </c>
      <c r="H34" s="29">
        <v>-1.59</v>
      </c>
      <c r="I34" s="26">
        <v>1</v>
      </c>
      <c r="J34" s="29">
        <v>4.63</v>
      </c>
      <c r="K34" s="29">
        <v>9.7100000000000009</v>
      </c>
      <c r="L34" s="29">
        <v>22.57</v>
      </c>
      <c r="M34" s="29">
        <v>31.37</v>
      </c>
      <c r="N34" s="29">
        <v>15.19</v>
      </c>
      <c r="O34" s="30">
        <v>17.21</v>
      </c>
      <c r="P34" s="29">
        <v>17.190000000000001</v>
      </c>
      <c r="Q34" s="29">
        <v>14.57</v>
      </c>
      <c r="R34" s="29">
        <v>16.91</v>
      </c>
      <c r="S34" s="29">
        <v>19.809999999999999</v>
      </c>
    </row>
    <row r="35" spans="1:19" ht="16" x14ac:dyDescent="0.2">
      <c r="A35" s="14" t="s">
        <v>195</v>
      </c>
      <c r="B35" s="15"/>
      <c r="C35" s="16">
        <f>(C33/B33)-1</f>
        <v>0.6653574698048017</v>
      </c>
      <c r="D35" s="16">
        <f>(D33/C33)-1</f>
        <v>0.164512182147037</v>
      </c>
      <c r="E35" s="16">
        <f>(E33/D33)-1</f>
        <v>-0.92066573780102479</v>
      </c>
      <c r="F35" s="16">
        <f t="shared" ref="F35:N35" si="4">(F33/E33)-1</f>
        <v>-1.4727447216890595</v>
      </c>
      <c r="G35" s="16">
        <f t="shared" si="4"/>
        <v>15.889159561510354</v>
      </c>
      <c r="H35" s="16">
        <f t="shared" si="4"/>
        <v>-0.80174527621520264</v>
      </c>
      <c r="I35" s="16">
        <f t="shared" si="4"/>
        <v>-1.6207105614162725</v>
      </c>
      <c r="J35" s="16">
        <f t="shared" si="4"/>
        <v>3.9264504786091035</v>
      </c>
      <c r="K35" s="16">
        <f t="shared" si="4"/>
        <v>1.3692329044154095</v>
      </c>
      <c r="L35" s="16">
        <f t="shared" si="4"/>
        <v>1.6181494096086095</v>
      </c>
      <c r="M35" s="16">
        <f t="shared" si="4"/>
        <v>1.319541265929598</v>
      </c>
      <c r="N35" s="16">
        <f t="shared" si="4"/>
        <v>-0.25566561112535036</v>
      </c>
      <c r="O35" s="16">
        <f>(O33/N33)-1</f>
        <v>0.23859641327831249</v>
      </c>
      <c r="P35" s="16"/>
      <c r="Q35" s="16">
        <f>(Q33/P33)-1</f>
        <v>-0.18667957885786157</v>
      </c>
      <c r="R35" s="16">
        <f>(R33/Q33)-1</f>
        <v>8.5729843540131467E-2</v>
      </c>
      <c r="S35" s="16">
        <f>(S33/R33)-1</f>
        <v>0.42040750820834139</v>
      </c>
    </row>
    <row r="36" spans="1:19" ht="16" x14ac:dyDescent="0.2">
      <c r="A36" s="17" t="s">
        <v>196</v>
      </c>
      <c r="B36" s="18" t="e">
        <f t="shared" ref="B36:S36" si="5">(B16*(1-0.25))/(B126+B105+B96)</f>
        <v>#VALUE!</v>
      </c>
      <c r="C36" s="18" t="e">
        <f t="shared" si="5"/>
        <v>#VALUE!</v>
      </c>
      <c r="D36" s="18">
        <f t="shared" si="5"/>
        <v>0.17737466648505293</v>
      </c>
      <c r="E36" s="18">
        <f t="shared" si="5"/>
        <v>8.6555276734363071E-2</v>
      </c>
      <c r="F36" s="18">
        <f t="shared" si="5"/>
        <v>2.9008849585313079E-2</v>
      </c>
      <c r="G36" s="18">
        <f t="shared" si="5"/>
        <v>-8.4614791555692612E-2</v>
      </c>
      <c r="H36" s="18">
        <f t="shared" si="5"/>
        <v>-5.6203972494286237E-3</v>
      </c>
      <c r="I36" s="18" t="e">
        <f t="shared" si="5"/>
        <v>#VALUE!</v>
      </c>
      <c r="J36" s="18" t="e">
        <f t="shared" si="5"/>
        <v>#VALUE!</v>
      </c>
      <c r="K36" s="18">
        <f t="shared" si="5"/>
        <v>0.18356121513284809</v>
      </c>
      <c r="L36" s="18">
        <f t="shared" si="5"/>
        <v>0.24182123722703577</v>
      </c>
      <c r="M36" s="18">
        <f t="shared" si="5"/>
        <v>0.52401443883797838</v>
      </c>
      <c r="N36" s="18">
        <f t="shared" si="5"/>
        <v>0.18695770013434343</v>
      </c>
      <c r="O36" s="18">
        <f t="shared" si="5"/>
        <v>0.22367551529656196</v>
      </c>
      <c r="P36" s="18">
        <f t="shared" si="5"/>
        <v>5.6150707131649935E-2</v>
      </c>
      <c r="Q36" s="18">
        <f t="shared" si="5"/>
        <v>4.8357479500541332E-2</v>
      </c>
      <c r="R36" s="18">
        <f t="shared" si="5"/>
        <v>5.0067985456653412E-2</v>
      </c>
      <c r="S36" s="18">
        <f t="shared" si="5"/>
        <v>6.8661199067871367E-2</v>
      </c>
    </row>
    <row r="37" spans="1:19" ht="16" x14ac:dyDescent="0.2">
      <c r="A37" s="3" t="s">
        <v>45</v>
      </c>
      <c r="B37" s="4" t="s">
        <v>24</v>
      </c>
      <c r="C37" s="4" t="s">
        <v>24</v>
      </c>
      <c r="D37" s="4" t="s">
        <v>24</v>
      </c>
      <c r="E37" s="4" t="s">
        <v>24</v>
      </c>
      <c r="F37" s="4">
        <v>14036000</v>
      </c>
      <c r="G37" s="4">
        <v>14811000</v>
      </c>
      <c r="H37" s="4">
        <v>15244000</v>
      </c>
      <c r="I37" s="4">
        <v>15532000</v>
      </c>
      <c r="J37" s="4">
        <v>119653000</v>
      </c>
      <c r="K37" s="4" t="s">
        <v>24</v>
      </c>
      <c r="L37" s="4" t="s">
        <v>24</v>
      </c>
      <c r="M37" s="4" t="s">
        <v>24</v>
      </c>
      <c r="N37" s="4" t="s">
        <v>24</v>
      </c>
      <c r="O37" s="5" t="s">
        <v>24</v>
      </c>
      <c r="P37" s="4" t="s">
        <v>24</v>
      </c>
      <c r="Q37" s="4" t="s">
        <v>24</v>
      </c>
      <c r="R37" s="4" t="s">
        <v>24</v>
      </c>
      <c r="S37" s="4" t="s">
        <v>24</v>
      </c>
    </row>
    <row r="38" spans="1:19" ht="16" x14ac:dyDescent="0.2">
      <c r="A38" s="3" t="s">
        <v>46</v>
      </c>
      <c r="B38" s="4" t="s">
        <v>24</v>
      </c>
      <c r="C38" s="4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5" t="s">
        <v>24</v>
      </c>
      <c r="P38" s="4" t="s">
        <v>24</v>
      </c>
      <c r="Q38" s="4" t="s">
        <v>24</v>
      </c>
      <c r="R38" s="4" t="s">
        <v>24</v>
      </c>
      <c r="S38" s="4" t="s">
        <v>24</v>
      </c>
    </row>
    <row r="39" spans="1:19" ht="16" x14ac:dyDescent="0.2">
      <c r="A39" s="3" t="s">
        <v>47</v>
      </c>
      <c r="B39" s="4">
        <v>67726000</v>
      </c>
      <c r="C39" s="4">
        <v>112788000</v>
      </c>
      <c r="D39" s="4">
        <v>131343000</v>
      </c>
      <c r="E39" s="4">
        <v>10420000</v>
      </c>
      <c r="F39" s="4">
        <v>-18962000</v>
      </c>
      <c r="G39" s="4">
        <v>-98007000</v>
      </c>
      <c r="H39" s="4">
        <v>-31738000</v>
      </c>
      <c r="I39" s="4">
        <v>-5294000</v>
      </c>
      <c r="J39" s="4">
        <v>-69216000</v>
      </c>
      <c r="K39" s="4">
        <v>119497000</v>
      </c>
      <c r="L39" s="4">
        <v>312861000</v>
      </c>
      <c r="M39" s="4">
        <v>725694000</v>
      </c>
      <c r="N39" s="4">
        <v>540159000</v>
      </c>
      <c r="O39" s="5">
        <v>669039000</v>
      </c>
      <c r="P39" s="4">
        <v>169349000</v>
      </c>
      <c r="Q39" s="4">
        <v>137735000</v>
      </c>
      <c r="R39" s="4">
        <v>149543000</v>
      </c>
      <c r="S39" s="4">
        <v>212412000</v>
      </c>
    </row>
    <row r="40" spans="1:19" ht="16" x14ac:dyDescent="0.2">
      <c r="A40" s="3" t="s">
        <v>48</v>
      </c>
      <c r="B40" s="4">
        <v>85482000</v>
      </c>
      <c r="C40" s="4">
        <v>88318000</v>
      </c>
      <c r="D40" s="4">
        <v>89571000</v>
      </c>
      <c r="E40" s="4">
        <v>87989000</v>
      </c>
      <c r="F40" s="4">
        <v>85140000</v>
      </c>
      <c r="G40" s="4">
        <v>75604000</v>
      </c>
      <c r="H40" s="4">
        <v>73371000</v>
      </c>
      <c r="I40" s="4">
        <v>72255000</v>
      </c>
      <c r="J40" s="4">
        <v>68421000</v>
      </c>
      <c r="K40" s="4">
        <v>70357000</v>
      </c>
      <c r="L40" s="4">
        <v>67386000</v>
      </c>
      <c r="M40" s="4">
        <v>62464000</v>
      </c>
      <c r="N40" s="4">
        <v>61220000</v>
      </c>
      <c r="O40" s="5">
        <v>61830000</v>
      </c>
      <c r="P40" s="4">
        <v>61693000</v>
      </c>
      <c r="Q40" s="4">
        <v>61754000</v>
      </c>
      <c r="R40" s="4">
        <v>61836000</v>
      </c>
      <c r="S40" s="4">
        <v>62037000</v>
      </c>
    </row>
    <row r="41" spans="1:19" ht="16" x14ac:dyDescent="0.2">
      <c r="A41" s="3" t="s">
        <v>49</v>
      </c>
      <c r="B41" s="6">
        <v>0.79</v>
      </c>
      <c r="C41" s="6">
        <v>1.28</v>
      </c>
      <c r="D41" s="6">
        <v>1.47</v>
      </c>
      <c r="E41" s="6">
        <v>0.12</v>
      </c>
      <c r="F41" s="6">
        <v>-0.22</v>
      </c>
      <c r="G41" s="6">
        <v>-1.3</v>
      </c>
      <c r="H41" s="6">
        <v>-0.43</v>
      </c>
      <c r="I41" s="6">
        <v>-7.0000000000000007E-2</v>
      </c>
      <c r="J41" s="6">
        <v>-1.01</v>
      </c>
      <c r="K41" s="6">
        <v>1.7</v>
      </c>
      <c r="L41" s="6">
        <v>4.6399999999999997</v>
      </c>
      <c r="M41" s="6">
        <v>11.62</v>
      </c>
      <c r="N41" s="6">
        <v>8.82</v>
      </c>
      <c r="O41" s="7">
        <v>10.82</v>
      </c>
      <c r="P41" s="6">
        <v>2.75</v>
      </c>
      <c r="Q41" s="6">
        <v>2.23</v>
      </c>
      <c r="R41" s="6">
        <v>2.42</v>
      </c>
      <c r="S41" s="6">
        <v>3.42</v>
      </c>
    </row>
    <row r="42" spans="1:19" ht="16" x14ac:dyDescent="0.2">
      <c r="A42" s="3" t="s">
        <v>50</v>
      </c>
      <c r="B42" s="6">
        <v>0.79</v>
      </c>
      <c r="C42" s="6">
        <v>1.28</v>
      </c>
      <c r="D42" s="6">
        <v>1.47</v>
      </c>
      <c r="E42" s="6">
        <v>0.12</v>
      </c>
      <c r="F42" s="6">
        <v>-0.06</v>
      </c>
      <c r="G42" s="6">
        <v>-1.1000000000000001</v>
      </c>
      <c r="H42" s="6">
        <v>-0.22</v>
      </c>
      <c r="I42" s="6">
        <v>0.14000000000000001</v>
      </c>
      <c r="J42" s="6">
        <v>0.74</v>
      </c>
      <c r="K42" s="6">
        <v>1.7</v>
      </c>
      <c r="L42" s="6">
        <v>4.6399999999999997</v>
      </c>
      <c r="M42" s="6">
        <v>11.62</v>
      </c>
      <c r="N42" s="6">
        <v>8.82</v>
      </c>
      <c r="O42" s="7">
        <v>10.82</v>
      </c>
      <c r="P42" s="6">
        <v>2.75</v>
      </c>
      <c r="Q42" s="6">
        <v>2.23</v>
      </c>
      <c r="R42" s="6">
        <v>2.42</v>
      </c>
      <c r="S42" s="6">
        <v>3.42</v>
      </c>
    </row>
    <row r="43" spans="1:19" ht="16" x14ac:dyDescent="0.2">
      <c r="A43" s="3" t="s">
        <v>51</v>
      </c>
      <c r="B43" s="4">
        <v>87596000</v>
      </c>
      <c r="C43" s="4">
        <v>89981000</v>
      </c>
      <c r="D43" s="4">
        <v>90588000</v>
      </c>
      <c r="E43" s="4">
        <v>89089000</v>
      </c>
      <c r="F43" s="4">
        <v>85140000</v>
      </c>
      <c r="G43" s="4">
        <v>75604000</v>
      </c>
      <c r="H43" s="4">
        <v>73371000</v>
      </c>
      <c r="I43" s="4">
        <v>72255000</v>
      </c>
      <c r="J43" s="4">
        <v>68421000</v>
      </c>
      <c r="K43" s="4">
        <v>71771000</v>
      </c>
      <c r="L43" s="4">
        <v>68544000</v>
      </c>
      <c r="M43" s="4">
        <v>63718000</v>
      </c>
      <c r="N43" s="4">
        <v>62006000</v>
      </c>
      <c r="O43" s="5">
        <v>62525750</v>
      </c>
      <c r="P43" s="4">
        <v>62367000</v>
      </c>
      <c r="Q43" s="4">
        <v>62504000</v>
      </c>
      <c r="R43" s="4">
        <v>62629000</v>
      </c>
      <c r="S43" s="4">
        <v>62603000</v>
      </c>
    </row>
    <row r="44" spans="1:19" ht="16" x14ac:dyDescent="0.2">
      <c r="A44" s="3" t="s">
        <v>52</v>
      </c>
      <c r="B44" s="6">
        <v>0.77</v>
      </c>
      <c r="C44" s="6">
        <v>1.25</v>
      </c>
      <c r="D44" s="6">
        <v>1.45</v>
      </c>
      <c r="E44" s="6">
        <v>0.12</v>
      </c>
      <c r="F44" s="6">
        <v>-0.22</v>
      </c>
      <c r="G44" s="6">
        <v>-1.3</v>
      </c>
      <c r="H44" s="6">
        <v>-0.43</v>
      </c>
      <c r="I44" s="6">
        <v>-7.0000000000000007E-2</v>
      </c>
      <c r="J44" s="6">
        <v>-1.01</v>
      </c>
      <c r="K44" s="6">
        <v>1.66</v>
      </c>
      <c r="L44" s="6">
        <v>4.5599999999999996</v>
      </c>
      <c r="M44" s="6">
        <v>11.39</v>
      </c>
      <c r="N44" s="6">
        <v>8.7100000000000009</v>
      </c>
      <c r="O44" s="7">
        <v>10.7</v>
      </c>
      <c r="P44" s="6">
        <v>2.72</v>
      </c>
      <c r="Q44" s="6">
        <v>2.2000000000000002</v>
      </c>
      <c r="R44" s="6">
        <v>2.39</v>
      </c>
      <c r="S44" s="6">
        <v>3.39</v>
      </c>
    </row>
    <row r="45" spans="1:19" ht="16" x14ac:dyDescent="0.2">
      <c r="A45" s="3" t="s">
        <v>53</v>
      </c>
      <c r="B45" s="6">
        <v>0.77</v>
      </c>
      <c r="C45" s="6">
        <v>1.25</v>
      </c>
      <c r="D45" s="6">
        <v>1.45</v>
      </c>
      <c r="E45" s="6">
        <v>0.12</v>
      </c>
      <c r="F45" s="6">
        <v>-0.06</v>
      </c>
      <c r="G45" s="6">
        <v>-1.1000000000000001</v>
      </c>
      <c r="H45" s="6">
        <v>-0.22</v>
      </c>
      <c r="I45" s="6">
        <v>0.14000000000000001</v>
      </c>
      <c r="J45" s="6">
        <v>0.74</v>
      </c>
      <c r="K45" s="6">
        <v>1.66</v>
      </c>
      <c r="L45" s="6">
        <v>4.5599999999999996</v>
      </c>
      <c r="M45" s="6">
        <v>11.39</v>
      </c>
      <c r="N45" s="6">
        <v>8.7100000000000009</v>
      </c>
      <c r="O45" s="7">
        <v>10.7</v>
      </c>
      <c r="P45" s="6">
        <v>2.72</v>
      </c>
      <c r="Q45" s="6">
        <v>2.2000000000000002</v>
      </c>
      <c r="R45" s="6">
        <v>2.39</v>
      </c>
      <c r="S45" s="6">
        <v>3.39</v>
      </c>
    </row>
    <row r="46" spans="1:19" ht="16" x14ac:dyDescent="0.2">
      <c r="A46" s="3" t="s">
        <v>54</v>
      </c>
      <c r="B46" s="4">
        <v>120774000</v>
      </c>
      <c r="C46" s="4">
        <v>168870000</v>
      </c>
      <c r="D46" s="4">
        <v>184278000</v>
      </c>
      <c r="E46" s="4">
        <v>115550000</v>
      </c>
      <c r="F46" s="4">
        <v>62046000</v>
      </c>
      <c r="G46" s="4">
        <v>-12297000</v>
      </c>
      <c r="H46" s="4">
        <v>31033000</v>
      </c>
      <c r="I46" s="4">
        <v>50466000</v>
      </c>
      <c r="J46" s="4">
        <v>92194000</v>
      </c>
      <c r="K46" s="4">
        <v>152862000</v>
      </c>
      <c r="L46" s="4">
        <v>241743000</v>
      </c>
      <c r="M46" s="4">
        <v>715040000</v>
      </c>
      <c r="N46" s="4">
        <v>889985000</v>
      </c>
      <c r="O46" s="5">
        <v>1085787000</v>
      </c>
      <c r="P46" s="4">
        <v>273807000</v>
      </c>
      <c r="Q46" s="4">
        <v>232783000</v>
      </c>
      <c r="R46" s="4">
        <v>248064000</v>
      </c>
      <c r="S46" s="4">
        <v>331133000</v>
      </c>
    </row>
    <row r="47" spans="1:19" ht="16" x14ac:dyDescent="0.2">
      <c r="A47" s="3" t="s">
        <v>55</v>
      </c>
      <c r="B47" s="6">
        <v>15.29</v>
      </c>
      <c r="C47" s="6">
        <v>16.87</v>
      </c>
      <c r="D47" s="6">
        <v>16.41</v>
      </c>
      <c r="E47" s="6">
        <v>9.69</v>
      </c>
      <c r="F47" s="6">
        <v>5.18</v>
      </c>
      <c r="G47" s="6">
        <v>-1.1299999999999999</v>
      </c>
      <c r="H47" s="6">
        <v>2.99</v>
      </c>
      <c r="I47" s="6">
        <v>4.93</v>
      </c>
      <c r="J47" s="6">
        <v>8.4700000000000006</v>
      </c>
      <c r="K47" s="6">
        <v>12.42</v>
      </c>
      <c r="L47" s="6">
        <v>17.440000000000001</v>
      </c>
      <c r="M47" s="6">
        <v>30.91</v>
      </c>
      <c r="N47" s="6">
        <v>25.03</v>
      </c>
      <c r="O47" s="7">
        <v>27.94</v>
      </c>
      <c r="P47" s="6">
        <v>25.82</v>
      </c>
      <c r="Q47" s="6">
        <v>25.03</v>
      </c>
      <c r="R47" s="6">
        <v>26.77</v>
      </c>
      <c r="S47" s="6">
        <v>27.94</v>
      </c>
    </row>
    <row r="48" spans="1:19" ht="16" x14ac:dyDescent="0.2">
      <c r="A48" s="3" t="s">
        <v>56</v>
      </c>
      <c r="B48" s="4">
        <v>83715000</v>
      </c>
      <c r="C48" s="4">
        <v>131607000</v>
      </c>
      <c r="D48" s="4">
        <v>147584000</v>
      </c>
      <c r="E48" s="4">
        <v>74044000</v>
      </c>
      <c r="F48" s="4">
        <v>24633000</v>
      </c>
      <c r="G48" s="4">
        <v>-48290000</v>
      </c>
      <c r="H48" s="4">
        <v>-3010000</v>
      </c>
      <c r="I48" s="4">
        <v>17336000</v>
      </c>
      <c r="J48" s="4">
        <v>62944000</v>
      </c>
      <c r="K48" s="4">
        <v>128649000</v>
      </c>
      <c r="L48" s="4">
        <v>214124000</v>
      </c>
      <c r="M48" s="4">
        <v>683064000</v>
      </c>
      <c r="N48" s="4">
        <v>850756000</v>
      </c>
      <c r="O48" s="5">
        <v>1037532000</v>
      </c>
      <c r="P48" s="4">
        <v>264063000</v>
      </c>
      <c r="Q48" s="4">
        <v>220052000</v>
      </c>
      <c r="R48" s="4">
        <v>234928000</v>
      </c>
      <c r="S48" s="4">
        <v>318489000</v>
      </c>
    </row>
    <row r="49" spans="1:19" ht="16" x14ac:dyDescent="0.2">
      <c r="A49" s="3" t="s">
        <v>57</v>
      </c>
      <c r="B49" s="4">
        <v>83715000</v>
      </c>
      <c r="C49" s="4">
        <v>131607000</v>
      </c>
      <c r="D49" s="4">
        <v>147584000</v>
      </c>
      <c r="E49" s="4">
        <v>74044000</v>
      </c>
      <c r="F49" s="4">
        <v>24633000</v>
      </c>
      <c r="G49" s="4">
        <v>-48290000</v>
      </c>
      <c r="H49" s="4">
        <v>-3010000</v>
      </c>
      <c r="I49" s="4">
        <v>17336000</v>
      </c>
      <c r="J49" s="4">
        <v>62944000</v>
      </c>
      <c r="K49" s="4">
        <v>128649000</v>
      </c>
      <c r="L49" s="4">
        <v>214124000</v>
      </c>
      <c r="M49" s="4">
        <v>683064000</v>
      </c>
      <c r="N49" s="4">
        <v>850756000</v>
      </c>
      <c r="O49" s="5">
        <v>1037532000</v>
      </c>
      <c r="P49" s="4">
        <v>264063000</v>
      </c>
      <c r="Q49" s="4">
        <v>220052000</v>
      </c>
      <c r="R49" s="4">
        <v>234928000</v>
      </c>
      <c r="S49" s="4">
        <v>318489000</v>
      </c>
    </row>
    <row r="50" spans="1:19" ht="16" x14ac:dyDescent="0.2">
      <c r="A50" s="3" t="s">
        <v>61</v>
      </c>
      <c r="B50" s="4">
        <v>197424</v>
      </c>
      <c r="C50" s="4">
        <v>240775</v>
      </c>
      <c r="D50" s="4">
        <v>229245</v>
      </c>
      <c r="E50" s="4">
        <v>238536</v>
      </c>
      <c r="F50" s="4">
        <v>244535</v>
      </c>
      <c r="G50" s="4">
        <v>201969</v>
      </c>
      <c r="H50" s="4">
        <v>204474</v>
      </c>
      <c r="I50" s="4">
        <v>233572</v>
      </c>
      <c r="J50" s="4">
        <v>278955</v>
      </c>
      <c r="K50" s="4">
        <v>323585</v>
      </c>
      <c r="L50" s="4">
        <v>301294</v>
      </c>
      <c r="M50" s="4">
        <v>400939</v>
      </c>
      <c r="N50" s="4">
        <v>532183</v>
      </c>
      <c r="O50" s="5">
        <v>581855</v>
      </c>
      <c r="P50" s="4">
        <v>170727</v>
      </c>
      <c r="Q50" s="4">
        <v>141491</v>
      </c>
      <c r="R50" s="4">
        <v>132360</v>
      </c>
      <c r="S50" s="4">
        <v>160534</v>
      </c>
    </row>
    <row r="51" spans="1:19" ht="16" x14ac:dyDescent="0.2">
      <c r="A51" s="3" t="s">
        <v>62</v>
      </c>
      <c r="B51" s="4" t="s">
        <v>24</v>
      </c>
      <c r="C51" s="4" t="s">
        <v>24</v>
      </c>
      <c r="D51" s="4" t="s">
        <v>24</v>
      </c>
      <c r="E51" s="4" t="s">
        <v>24</v>
      </c>
      <c r="F51" s="6">
        <v>0.1</v>
      </c>
      <c r="G51" s="6">
        <v>0.16</v>
      </c>
      <c r="H51" s="6">
        <v>0.16</v>
      </c>
      <c r="I51" s="6">
        <v>0.17</v>
      </c>
      <c r="J51" s="6">
        <v>0.31</v>
      </c>
      <c r="K51" s="6">
        <v>0.04</v>
      </c>
      <c r="L51" s="4" t="s">
        <v>24</v>
      </c>
      <c r="M51" s="4" t="s">
        <v>24</v>
      </c>
      <c r="N51" s="4" t="s">
        <v>24</v>
      </c>
      <c r="O51" s="5" t="s">
        <v>24</v>
      </c>
      <c r="P51" s="4" t="s">
        <v>24</v>
      </c>
      <c r="Q51" s="4" t="s">
        <v>24</v>
      </c>
      <c r="R51" s="4" t="s">
        <v>24</v>
      </c>
      <c r="S51" s="4" t="s">
        <v>24</v>
      </c>
    </row>
    <row r="52" spans="1:19" ht="16" x14ac:dyDescent="0.2">
      <c r="A52" s="3" t="s">
        <v>63</v>
      </c>
      <c r="B52" s="4">
        <v>37059000</v>
      </c>
      <c r="C52" s="4">
        <v>37263000</v>
      </c>
      <c r="D52" s="4">
        <v>36694000</v>
      </c>
      <c r="E52" s="4">
        <v>41506000</v>
      </c>
      <c r="F52" s="4">
        <v>37413000</v>
      </c>
      <c r="G52" s="4">
        <v>35993000</v>
      </c>
      <c r="H52" s="4">
        <v>34043000</v>
      </c>
      <c r="I52" s="4">
        <v>33130000</v>
      </c>
      <c r="J52" s="4">
        <v>29250000</v>
      </c>
      <c r="K52" s="4">
        <v>24213000</v>
      </c>
      <c r="L52" s="4">
        <v>27619000</v>
      </c>
      <c r="M52" s="4">
        <v>31976000</v>
      </c>
      <c r="N52" s="4">
        <v>39229000</v>
      </c>
      <c r="O52" s="5">
        <v>48255000</v>
      </c>
      <c r="P52" s="4">
        <v>9744000</v>
      </c>
      <c r="Q52" s="4">
        <v>12731000</v>
      </c>
      <c r="R52" s="4">
        <v>13136000</v>
      </c>
      <c r="S52" s="4">
        <v>12644000</v>
      </c>
    </row>
    <row r="54" spans="1:19" ht="16" x14ac:dyDescent="0.2">
      <c r="A54" s="2" t="s">
        <v>24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16</v>
      </c>
      <c r="S54" s="2" t="s">
        <v>17</v>
      </c>
    </row>
    <row r="55" spans="1:19" ht="16" x14ac:dyDescent="0.2">
      <c r="A55" s="3" t="s">
        <v>64</v>
      </c>
      <c r="B55" s="4">
        <v>381014000</v>
      </c>
      <c r="C55" s="4">
        <v>525343000</v>
      </c>
      <c r="D55" s="4">
        <v>613115000</v>
      </c>
      <c r="E55" s="4">
        <v>640077000</v>
      </c>
      <c r="F55" s="4">
        <v>595408000</v>
      </c>
      <c r="G55" s="4">
        <v>445949000</v>
      </c>
      <c r="H55" s="4">
        <v>425475000</v>
      </c>
      <c r="I55" s="4">
        <v>425049000</v>
      </c>
      <c r="J55" s="4">
        <v>380298000</v>
      </c>
      <c r="K55" s="4">
        <v>425382000</v>
      </c>
      <c r="L55" s="4">
        <v>492841000</v>
      </c>
      <c r="M55" s="4">
        <v>666569000</v>
      </c>
      <c r="N55" s="4">
        <v>1025975000</v>
      </c>
      <c r="O55" s="5">
        <v>1101216000</v>
      </c>
      <c r="P55" s="4">
        <v>1123172000</v>
      </c>
      <c r="Q55" s="4">
        <v>1025975000</v>
      </c>
      <c r="R55" s="4">
        <v>1114662000</v>
      </c>
      <c r="S55" s="4">
        <v>1101216000</v>
      </c>
    </row>
    <row r="56" spans="1:19" ht="16" x14ac:dyDescent="0.2">
      <c r="A56" s="3" t="s">
        <v>65</v>
      </c>
      <c r="B56" s="4">
        <v>145583000</v>
      </c>
      <c r="C56" s="4">
        <v>257587000</v>
      </c>
      <c r="D56" s="4">
        <v>294348000</v>
      </c>
      <c r="E56" s="4">
        <v>317144000</v>
      </c>
      <c r="F56" s="4">
        <v>267512000</v>
      </c>
      <c r="G56" s="4">
        <v>143341000</v>
      </c>
      <c r="H56" s="4">
        <v>147565000</v>
      </c>
      <c r="I56" s="4">
        <v>172128000</v>
      </c>
      <c r="J56" s="4">
        <v>123367000</v>
      </c>
      <c r="K56" s="4">
        <v>108253000</v>
      </c>
      <c r="L56" s="4">
        <v>135802000</v>
      </c>
      <c r="M56" s="4">
        <v>213197000</v>
      </c>
      <c r="N56" s="4">
        <v>191629000</v>
      </c>
      <c r="O56" s="5">
        <v>166235000</v>
      </c>
      <c r="P56" s="4">
        <v>142971000</v>
      </c>
      <c r="Q56" s="4">
        <v>191629000</v>
      </c>
      <c r="R56" s="4">
        <v>125687000</v>
      </c>
      <c r="S56" s="4">
        <v>166235000</v>
      </c>
    </row>
    <row r="57" spans="1:19" ht="16" x14ac:dyDescent="0.2">
      <c r="A57" s="3" t="s">
        <v>66</v>
      </c>
      <c r="B57" s="4">
        <v>145583000</v>
      </c>
      <c r="C57" s="4">
        <v>257587000</v>
      </c>
      <c r="D57" s="4">
        <v>294348000</v>
      </c>
      <c r="E57" s="4">
        <v>317144000</v>
      </c>
      <c r="F57" s="4">
        <v>267512000</v>
      </c>
      <c r="G57" s="4">
        <v>143341000</v>
      </c>
      <c r="H57" s="4">
        <v>147565000</v>
      </c>
      <c r="I57" s="4">
        <v>172128000</v>
      </c>
      <c r="J57" s="4">
        <v>123367000</v>
      </c>
      <c r="K57" s="4">
        <v>108253000</v>
      </c>
      <c r="L57" s="4">
        <v>135802000</v>
      </c>
      <c r="M57" s="4">
        <v>213197000</v>
      </c>
      <c r="N57" s="4">
        <v>191629000</v>
      </c>
      <c r="O57" s="5">
        <v>166235000</v>
      </c>
      <c r="P57" s="4">
        <v>142971000</v>
      </c>
      <c r="Q57" s="4">
        <v>191629000</v>
      </c>
      <c r="R57" s="4">
        <v>125687000</v>
      </c>
      <c r="S57" s="4">
        <v>166235000</v>
      </c>
    </row>
    <row r="58" spans="1:19" ht="16" x14ac:dyDescent="0.2">
      <c r="A58" s="3" t="s">
        <v>67</v>
      </c>
      <c r="B58" s="4" t="s">
        <v>24</v>
      </c>
      <c r="C58" s="4" t="s">
        <v>24</v>
      </c>
      <c r="D58" s="4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5" t="s">
        <v>24</v>
      </c>
      <c r="P58" s="4" t="s">
        <v>24</v>
      </c>
      <c r="Q58" s="4" t="s">
        <v>24</v>
      </c>
      <c r="R58" s="4" t="s">
        <v>24</v>
      </c>
      <c r="S58" s="4" t="s">
        <v>24</v>
      </c>
    </row>
    <row r="59" spans="1:19" ht="16" x14ac:dyDescent="0.2">
      <c r="A59" s="3" t="s">
        <v>68</v>
      </c>
      <c r="B59" s="4">
        <v>84959000</v>
      </c>
      <c r="C59" s="4">
        <v>110883000</v>
      </c>
      <c r="D59" s="4">
        <v>122712000</v>
      </c>
      <c r="E59" s="4">
        <v>126977000</v>
      </c>
      <c r="F59" s="4">
        <v>122538000</v>
      </c>
      <c r="G59" s="4">
        <v>108082000</v>
      </c>
      <c r="H59" s="4">
        <v>95934000</v>
      </c>
      <c r="I59" s="4">
        <v>97834000</v>
      </c>
      <c r="J59" s="4">
        <v>108371000</v>
      </c>
      <c r="K59" s="4">
        <v>118251000</v>
      </c>
      <c r="L59" s="4">
        <v>162520000</v>
      </c>
      <c r="M59" s="4">
        <v>217182000</v>
      </c>
      <c r="N59" s="4">
        <v>329188000</v>
      </c>
      <c r="O59" s="5">
        <v>439916000</v>
      </c>
      <c r="P59" s="4">
        <v>423681000</v>
      </c>
      <c r="Q59" s="4">
        <v>329188000</v>
      </c>
      <c r="R59" s="4">
        <v>453523000</v>
      </c>
      <c r="S59" s="4">
        <v>439916000</v>
      </c>
    </row>
    <row r="60" spans="1:19" ht="16" x14ac:dyDescent="0.2">
      <c r="A60" s="3" t="s">
        <v>69</v>
      </c>
      <c r="B60" s="4">
        <v>64260000</v>
      </c>
      <c r="C60" s="4">
        <v>84760000</v>
      </c>
      <c r="D60" s="4">
        <v>92278000</v>
      </c>
      <c r="E60" s="4">
        <v>104405000</v>
      </c>
      <c r="F60" s="4">
        <v>101217000</v>
      </c>
      <c r="G60" s="4">
        <v>83616000</v>
      </c>
      <c r="H60" s="4">
        <v>78297000</v>
      </c>
      <c r="I60" s="4">
        <v>83518000</v>
      </c>
      <c r="J60" s="4">
        <v>97627000</v>
      </c>
      <c r="K60" s="4">
        <v>108199000</v>
      </c>
      <c r="L60" s="4">
        <v>149847000</v>
      </c>
      <c r="M60" s="4">
        <v>182629000</v>
      </c>
      <c r="N60" s="4">
        <v>295594000</v>
      </c>
      <c r="O60" s="5">
        <v>409594000</v>
      </c>
      <c r="P60" s="4">
        <v>397657000</v>
      </c>
      <c r="Q60" s="4">
        <v>295594000</v>
      </c>
      <c r="R60" s="4">
        <v>418959000</v>
      </c>
      <c r="S60" s="4">
        <v>409594000</v>
      </c>
    </row>
    <row r="61" spans="1:19" ht="16" x14ac:dyDescent="0.2">
      <c r="A61" s="3" t="s">
        <v>70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ht="16" x14ac:dyDescent="0.2">
      <c r="A62" s="3" t="s">
        <v>71</v>
      </c>
      <c r="B62" s="4" t="s">
        <v>24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5" t="s">
        <v>24</v>
      </c>
      <c r="P62" s="4" t="s">
        <v>24</v>
      </c>
      <c r="Q62" s="4" t="s">
        <v>24</v>
      </c>
      <c r="R62" s="4" t="s">
        <v>24</v>
      </c>
      <c r="S62" s="4" t="s">
        <v>24</v>
      </c>
    </row>
    <row r="63" spans="1:19" ht="16" x14ac:dyDescent="0.2">
      <c r="A63" s="3" t="s">
        <v>72</v>
      </c>
      <c r="B63" s="4">
        <v>20699000</v>
      </c>
      <c r="C63" s="4">
        <v>26123000</v>
      </c>
      <c r="D63" s="4">
        <v>30434000</v>
      </c>
      <c r="E63" s="4">
        <v>22572000</v>
      </c>
      <c r="F63" s="4">
        <v>21321000</v>
      </c>
      <c r="G63" s="4">
        <v>24466000</v>
      </c>
      <c r="H63" s="4">
        <v>17637000</v>
      </c>
      <c r="I63" s="4">
        <v>14316000</v>
      </c>
      <c r="J63" s="4">
        <v>10744000</v>
      </c>
      <c r="K63" s="4">
        <v>10052000</v>
      </c>
      <c r="L63" s="4">
        <v>12673000</v>
      </c>
      <c r="M63" s="4">
        <v>34553000</v>
      </c>
      <c r="N63" s="4">
        <v>33594000</v>
      </c>
      <c r="O63" s="5">
        <v>30322000</v>
      </c>
      <c r="P63" s="4">
        <v>26024000</v>
      </c>
      <c r="Q63" s="4">
        <v>33594000</v>
      </c>
      <c r="R63" s="4">
        <v>34564000</v>
      </c>
      <c r="S63" s="4">
        <v>30322000</v>
      </c>
    </row>
    <row r="64" spans="1:19" ht="16" x14ac:dyDescent="0.2">
      <c r="A64" s="3" t="s">
        <v>73</v>
      </c>
      <c r="B64" s="4">
        <v>121155000</v>
      </c>
      <c r="C64" s="4">
        <v>129627000</v>
      </c>
      <c r="D64" s="4">
        <v>164804000</v>
      </c>
      <c r="E64" s="4">
        <v>162341000</v>
      </c>
      <c r="F64" s="4">
        <v>171012000</v>
      </c>
      <c r="G64" s="4">
        <v>168192000</v>
      </c>
      <c r="H64" s="4">
        <v>147029000</v>
      </c>
      <c r="I64" s="4">
        <v>130347000</v>
      </c>
      <c r="J64" s="4">
        <v>124491000</v>
      </c>
      <c r="K64" s="4">
        <v>172028000</v>
      </c>
      <c r="L64" s="4">
        <v>175121000</v>
      </c>
      <c r="M64" s="4">
        <v>213520000</v>
      </c>
      <c r="N64" s="4">
        <v>471551000</v>
      </c>
      <c r="O64" s="5">
        <v>436269000</v>
      </c>
      <c r="P64" s="4">
        <v>513748000</v>
      </c>
      <c r="Q64" s="4">
        <v>471551000</v>
      </c>
      <c r="R64" s="4">
        <v>476112000</v>
      </c>
      <c r="S64" s="4">
        <v>436269000</v>
      </c>
    </row>
    <row r="65" spans="1:19" ht="16" x14ac:dyDescent="0.2">
      <c r="A65" s="3" t="s">
        <v>74</v>
      </c>
      <c r="B65" s="4">
        <v>9773000</v>
      </c>
      <c r="C65" s="4">
        <v>5133000</v>
      </c>
      <c r="D65" s="4">
        <v>8060000</v>
      </c>
      <c r="E65" s="4">
        <v>7384000</v>
      </c>
      <c r="F65" s="4">
        <v>2794000</v>
      </c>
      <c r="G65" s="4">
        <v>4933000</v>
      </c>
      <c r="H65" s="4">
        <v>4042000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5" t="s">
        <v>24</v>
      </c>
      <c r="P65" s="4" t="s">
        <v>24</v>
      </c>
      <c r="Q65" s="4" t="s">
        <v>24</v>
      </c>
      <c r="R65" s="4" t="s">
        <v>24</v>
      </c>
      <c r="S65" s="4" t="s">
        <v>24</v>
      </c>
    </row>
    <row r="66" spans="1:19" ht="16" x14ac:dyDescent="0.2">
      <c r="A66" s="3" t="s">
        <v>75</v>
      </c>
      <c r="B66" s="4">
        <v>248000</v>
      </c>
      <c r="C66" s="4">
        <v>291000</v>
      </c>
      <c r="D66" s="4">
        <v>911000</v>
      </c>
      <c r="E66" s="4">
        <v>685000</v>
      </c>
      <c r="F66" s="4">
        <v>703000</v>
      </c>
      <c r="G66" s="4">
        <v>918000</v>
      </c>
      <c r="H66" s="4">
        <v>654000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5" t="s">
        <v>24</v>
      </c>
      <c r="P66" s="4" t="s">
        <v>24</v>
      </c>
      <c r="Q66" s="4" t="s">
        <v>24</v>
      </c>
      <c r="R66" s="4" t="s">
        <v>24</v>
      </c>
      <c r="S66" s="4" t="s">
        <v>24</v>
      </c>
    </row>
    <row r="67" spans="1:19" ht="16" x14ac:dyDescent="0.2">
      <c r="A67" s="3" t="s">
        <v>76</v>
      </c>
      <c r="B67" s="4">
        <v>111134000</v>
      </c>
      <c r="C67" s="4">
        <v>124203000</v>
      </c>
      <c r="D67" s="4">
        <v>155833000</v>
      </c>
      <c r="E67" s="4">
        <v>154272000</v>
      </c>
      <c r="F67" s="4">
        <v>167515000</v>
      </c>
      <c r="G67" s="4">
        <v>162341000</v>
      </c>
      <c r="H67" s="4">
        <v>142333000</v>
      </c>
      <c r="I67" s="4" t="s">
        <v>24</v>
      </c>
      <c r="J67" s="4">
        <v>124491000</v>
      </c>
      <c r="K67" s="4">
        <v>172028000</v>
      </c>
      <c r="L67" s="4" t="s">
        <v>24</v>
      </c>
      <c r="M67" s="4">
        <v>213520000</v>
      </c>
      <c r="N67" s="4">
        <v>471551000</v>
      </c>
      <c r="O67" s="5" t="s">
        <v>24</v>
      </c>
      <c r="P67" s="4" t="s">
        <v>24</v>
      </c>
      <c r="Q67" s="4">
        <v>471551000</v>
      </c>
      <c r="R67" s="4" t="s">
        <v>24</v>
      </c>
      <c r="S67" s="4" t="s">
        <v>24</v>
      </c>
    </row>
    <row r="68" spans="1:19" ht="16" x14ac:dyDescent="0.2">
      <c r="A68" s="3" t="s">
        <v>77</v>
      </c>
      <c r="B68" s="4" t="s">
        <v>24</v>
      </c>
      <c r="C68" s="4" t="s">
        <v>24</v>
      </c>
      <c r="D68" s="4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5" t="s">
        <v>24</v>
      </c>
      <c r="P68" s="4" t="s">
        <v>24</v>
      </c>
      <c r="Q68" s="4" t="s">
        <v>24</v>
      </c>
      <c r="R68" s="4" t="s">
        <v>24</v>
      </c>
      <c r="S68" s="4" t="s">
        <v>24</v>
      </c>
    </row>
    <row r="69" spans="1:19" ht="16" x14ac:dyDescent="0.2">
      <c r="A69" s="3" t="s">
        <v>78</v>
      </c>
      <c r="B69" s="4" t="s">
        <v>24</v>
      </c>
      <c r="C69" s="4" t="s">
        <v>24</v>
      </c>
      <c r="D69" s="4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>
        <v>130347000</v>
      </c>
      <c r="J69" s="4" t="s">
        <v>24</v>
      </c>
      <c r="K69" s="4" t="s">
        <v>24</v>
      </c>
      <c r="L69" s="4">
        <v>175121000</v>
      </c>
      <c r="M69" s="4" t="s">
        <v>24</v>
      </c>
      <c r="N69" s="4" t="s">
        <v>24</v>
      </c>
      <c r="O69" s="5">
        <v>436269000</v>
      </c>
      <c r="P69" s="4">
        <v>513748000</v>
      </c>
      <c r="Q69" s="4" t="s">
        <v>24</v>
      </c>
      <c r="R69" s="4">
        <v>476112000</v>
      </c>
      <c r="S69" s="4">
        <v>436269000</v>
      </c>
    </row>
    <row r="70" spans="1:19" ht="16" x14ac:dyDescent="0.2">
      <c r="A70" s="3" t="s">
        <v>79</v>
      </c>
      <c r="B70" s="4">
        <v>29317000</v>
      </c>
      <c r="C70" s="4">
        <v>27246000</v>
      </c>
      <c r="D70" s="4">
        <v>31251000</v>
      </c>
      <c r="E70" s="4">
        <v>33615000</v>
      </c>
      <c r="F70" s="4">
        <v>34346000</v>
      </c>
      <c r="G70" s="4">
        <v>26334000</v>
      </c>
      <c r="H70" s="4">
        <v>34947000</v>
      </c>
      <c r="I70" s="4">
        <v>24740000</v>
      </c>
      <c r="J70" s="4">
        <v>24069000</v>
      </c>
      <c r="K70" s="4">
        <v>26850000</v>
      </c>
      <c r="L70" s="4">
        <v>19398000</v>
      </c>
      <c r="M70" s="4">
        <v>22670000</v>
      </c>
      <c r="N70" s="4">
        <v>33607000</v>
      </c>
      <c r="O70" s="5">
        <v>58796000</v>
      </c>
      <c r="P70" s="4">
        <v>42772000</v>
      </c>
      <c r="Q70" s="4">
        <v>33607000</v>
      </c>
      <c r="R70" s="4">
        <v>59340000</v>
      </c>
      <c r="S70" s="4">
        <v>58796000</v>
      </c>
    </row>
    <row r="71" spans="1:19" ht="16" x14ac:dyDescent="0.2">
      <c r="A71" s="3" t="s">
        <v>80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ht="16" x14ac:dyDescent="0.2">
      <c r="A72" s="3" t="s">
        <v>81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ht="16" x14ac:dyDescent="0.2">
      <c r="A73" s="3" t="s">
        <v>82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ht="16" x14ac:dyDescent="0.2">
      <c r="A74" s="3" t="s">
        <v>83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ht="16" x14ac:dyDescent="0.2">
      <c r="A75" s="3" t="s">
        <v>84</v>
      </c>
      <c r="B75" s="4" t="s">
        <v>24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5" t="s">
        <v>24</v>
      </c>
      <c r="P75" s="4" t="s">
        <v>24</v>
      </c>
      <c r="Q75" s="4" t="s">
        <v>24</v>
      </c>
      <c r="R75" s="4" t="s">
        <v>24</v>
      </c>
      <c r="S75" s="4" t="s">
        <v>24</v>
      </c>
    </row>
    <row r="76" spans="1:19" ht="16" x14ac:dyDescent="0.2">
      <c r="A76" s="3" t="s">
        <v>85</v>
      </c>
      <c r="B76" s="4">
        <v>168467000</v>
      </c>
      <c r="C76" s="4">
        <v>170110000</v>
      </c>
      <c r="D76" s="4">
        <v>216523000</v>
      </c>
      <c r="E76" s="4">
        <v>235082000</v>
      </c>
      <c r="F76" s="4">
        <v>211523000</v>
      </c>
      <c r="G76" s="4">
        <v>162071000</v>
      </c>
      <c r="H76" s="4">
        <v>140915000</v>
      </c>
      <c r="I76" s="4">
        <v>118646000</v>
      </c>
      <c r="J76" s="4">
        <v>88603000</v>
      </c>
      <c r="K76" s="4">
        <v>313420000</v>
      </c>
      <c r="L76" s="4">
        <v>625882000</v>
      </c>
      <c r="M76" s="4">
        <v>878499000</v>
      </c>
      <c r="N76" s="4">
        <v>3475822000</v>
      </c>
      <c r="O76" s="5">
        <v>3501909000</v>
      </c>
      <c r="P76" s="4">
        <v>3419996000</v>
      </c>
      <c r="Q76" s="4">
        <v>3475822000</v>
      </c>
      <c r="R76" s="4">
        <v>3480973000</v>
      </c>
      <c r="S76" s="4">
        <v>3501909000</v>
      </c>
    </row>
    <row r="77" spans="1:19" ht="16" x14ac:dyDescent="0.2">
      <c r="A77" s="3" t="s">
        <v>86</v>
      </c>
      <c r="B77" s="4">
        <v>70014000</v>
      </c>
      <c r="C77" s="4">
        <v>67684000</v>
      </c>
      <c r="D77" s="4">
        <v>82241000</v>
      </c>
      <c r="E77" s="4">
        <v>86971000</v>
      </c>
      <c r="F77" s="4">
        <v>68288000</v>
      </c>
      <c r="G77" s="4">
        <v>49490000</v>
      </c>
      <c r="H77" s="4">
        <v>44090000</v>
      </c>
      <c r="I77" s="4">
        <v>35032000</v>
      </c>
      <c r="J77" s="4">
        <v>22211000</v>
      </c>
      <c r="K77" s="4">
        <v>150029000</v>
      </c>
      <c r="L77" s="4">
        <v>138583000</v>
      </c>
      <c r="M77" s="4">
        <v>185421000</v>
      </c>
      <c r="N77" s="4">
        <v>324298000</v>
      </c>
      <c r="O77" s="5">
        <v>441920000</v>
      </c>
      <c r="P77" s="4">
        <v>411922000</v>
      </c>
      <c r="Q77" s="4">
        <v>324298000</v>
      </c>
      <c r="R77" s="4">
        <v>424473000</v>
      </c>
      <c r="S77" s="4">
        <v>441920000</v>
      </c>
    </row>
    <row r="78" spans="1:19" ht="16" x14ac:dyDescent="0.2">
      <c r="A78" s="3" t="s">
        <v>87</v>
      </c>
      <c r="B78" s="4">
        <v>144970000</v>
      </c>
      <c r="C78" s="4">
        <v>157441000</v>
      </c>
      <c r="D78" s="4">
        <v>186959000</v>
      </c>
      <c r="E78" s="4">
        <v>185122000</v>
      </c>
      <c r="F78" s="4">
        <v>168087000</v>
      </c>
      <c r="G78" s="4">
        <v>147140000</v>
      </c>
      <c r="H78" s="4">
        <v>132693000</v>
      </c>
      <c r="I78" s="4">
        <v>126838000</v>
      </c>
      <c r="J78" s="4">
        <v>103167000</v>
      </c>
      <c r="K78" s="4">
        <v>229633000</v>
      </c>
      <c r="L78" s="4">
        <v>224888000</v>
      </c>
      <c r="M78" s="4">
        <v>269166000</v>
      </c>
      <c r="N78" s="4">
        <v>421434000</v>
      </c>
      <c r="O78" s="5">
        <v>552430000</v>
      </c>
      <c r="P78" s="4">
        <v>502959000</v>
      </c>
      <c r="Q78" s="4">
        <v>421434000</v>
      </c>
      <c r="R78" s="4">
        <v>528561000</v>
      </c>
      <c r="S78" s="4">
        <v>552430000</v>
      </c>
    </row>
    <row r="79" spans="1:19" ht="16" x14ac:dyDescent="0.2">
      <c r="A79" s="3" t="s">
        <v>88</v>
      </c>
      <c r="B79" s="4">
        <v>74956000</v>
      </c>
      <c r="C79" s="4">
        <v>89757000</v>
      </c>
      <c r="D79" s="4">
        <v>104718000</v>
      </c>
      <c r="E79" s="4">
        <v>98151000</v>
      </c>
      <c r="F79" s="4">
        <v>99799000</v>
      </c>
      <c r="G79" s="4">
        <v>97650000</v>
      </c>
      <c r="H79" s="4">
        <v>88603000</v>
      </c>
      <c r="I79" s="4">
        <v>91806000</v>
      </c>
      <c r="J79" s="4">
        <v>80956000</v>
      </c>
      <c r="K79" s="4">
        <v>79604000</v>
      </c>
      <c r="L79" s="4">
        <v>86305000</v>
      </c>
      <c r="M79" s="4">
        <v>83745000</v>
      </c>
      <c r="N79" s="4">
        <v>97136000</v>
      </c>
      <c r="O79" s="5">
        <v>110510000</v>
      </c>
      <c r="P79" s="4">
        <v>91037000</v>
      </c>
      <c r="Q79" s="4">
        <v>97136000</v>
      </c>
      <c r="R79" s="4">
        <v>104088000</v>
      </c>
      <c r="S79" s="4">
        <v>110510000</v>
      </c>
    </row>
    <row r="80" spans="1:19" ht="16" x14ac:dyDescent="0.2">
      <c r="A80" s="3" t="s">
        <v>89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ht="16" x14ac:dyDescent="0.2">
      <c r="A81" s="3" t="s">
        <v>90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ht="16" x14ac:dyDescent="0.2">
      <c r="A82" s="3" t="s">
        <v>91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5" t="s">
        <v>24</v>
      </c>
      <c r="P82" s="4" t="s">
        <v>24</v>
      </c>
      <c r="Q82" s="4" t="s">
        <v>24</v>
      </c>
      <c r="R82" s="4" t="s">
        <v>24</v>
      </c>
      <c r="S82" s="4" t="s">
        <v>24</v>
      </c>
    </row>
    <row r="83" spans="1:19" ht="16" x14ac:dyDescent="0.2">
      <c r="A83" s="3" t="s">
        <v>92</v>
      </c>
      <c r="B83" s="4">
        <v>98453000</v>
      </c>
      <c r="C83" s="4">
        <v>102426000</v>
      </c>
      <c r="D83" s="4">
        <v>134282000</v>
      </c>
      <c r="E83" s="4">
        <v>148111000</v>
      </c>
      <c r="F83" s="4">
        <v>143235000</v>
      </c>
      <c r="G83" s="4">
        <v>112581000</v>
      </c>
      <c r="H83" s="4">
        <v>96825000</v>
      </c>
      <c r="I83" s="4">
        <v>83614000</v>
      </c>
      <c r="J83" s="4">
        <v>66392000</v>
      </c>
      <c r="K83" s="4">
        <v>163391000</v>
      </c>
      <c r="L83" s="4">
        <v>487299000</v>
      </c>
      <c r="M83" s="4">
        <v>693078000</v>
      </c>
      <c r="N83" s="4">
        <v>3151524000</v>
      </c>
      <c r="O83" s="5">
        <v>3059989000</v>
      </c>
      <c r="P83" s="4">
        <v>3008074000</v>
      </c>
      <c r="Q83" s="4">
        <v>3151524000</v>
      </c>
      <c r="R83" s="4">
        <v>3056500000</v>
      </c>
      <c r="S83" s="4">
        <v>3059989000</v>
      </c>
    </row>
    <row r="84" spans="1:19" ht="16" x14ac:dyDescent="0.2">
      <c r="A84" s="3" t="s">
        <v>93</v>
      </c>
      <c r="B84" s="4">
        <v>45461000</v>
      </c>
      <c r="C84" s="4">
        <v>48641000</v>
      </c>
      <c r="D84" s="4">
        <v>59931000</v>
      </c>
      <c r="E84" s="4">
        <v>74822000</v>
      </c>
      <c r="F84" s="4">
        <v>99381000</v>
      </c>
      <c r="G84" s="4">
        <v>84270000</v>
      </c>
      <c r="H84" s="4">
        <v>74180000</v>
      </c>
      <c r="I84" s="4">
        <v>58115000</v>
      </c>
      <c r="J84" s="4">
        <v>47304000</v>
      </c>
      <c r="K84" s="4">
        <v>48673000</v>
      </c>
      <c r="L84" s="4">
        <v>39355000</v>
      </c>
      <c r="M84" s="4">
        <v>30402000</v>
      </c>
      <c r="N84" s="4">
        <v>2514981000</v>
      </c>
      <c r="O84" s="5">
        <v>2507446000</v>
      </c>
      <c r="P84" s="4">
        <v>2516956000</v>
      </c>
      <c r="Q84" s="4">
        <v>2514981000</v>
      </c>
      <c r="R84" s="4">
        <v>2510478000</v>
      </c>
      <c r="S84" s="4">
        <v>2507446000</v>
      </c>
    </row>
    <row r="85" spans="1:19" ht="16" x14ac:dyDescent="0.2">
      <c r="A85" s="3" t="s">
        <v>94</v>
      </c>
      <c r="B85" s="4" t="s">
        <v>24</v>
      </c>
      <c r="C85" s="4" t="s">
        <v>24</v>
      </c>
      <c r="D85" s="4">
        <v>2729000</v>
      </c>
      <c r="E85" s="4">
        <v>2508000</v>
      </c>
      <c r="F85" s="4">
        <v>2044000</v>
      </c>
      <c r="G85" s="4">
        <v>1973000</v>
      </c>
      <c r="H85" s="4">
        <v>1480000</v>
      </c>
      <c r="I85" s="4">
        <v>1688000</v>
      </c>
      <c r="J85" s="4">
        <v>1614000</v>
      </c>
      <c r="K85" s="4">
        <v>1578000</v>
      </c>
      <c r="L85" s="4">
        <v>1719000</v>
      </c>
      <c r="M85" s="4">
        <v>1600000</v>
      </c>
      <c r="N85" s="4">
        <v>714814000</v>
      </c>
      <c r="O85" s="5">
        <v>711570000</v>
      </c>
      <c r="P85" s="4">
        <v>714380000</v>
      </c>
      <c r="Q85" s="4">
        <v>714814000</v>
      </c>
      <c r="R85" s="4">
        <v>711560000</v>
      </c>
      <c r="S85" s="4">
        <v>711570000</v>
      </c>
    </row>
    <row r="86" spans="1:19" ht="16" x14ac:dyDescent="0.2">
      <c r="A86" s="3" t="s">
        <v>95</v>
      </c>
      <c r="B86" s="4">
        <v>45461000</v>
      </c>
      <c r="C86" s="4">
        <v>48641000</v>
      </c>
      <c r="D86" s="4">
        <v>57202000</v>
      </c>
      <c r="E86" s="4">
        <v>72314000</v>
      </c>
      <c r="F86" s="4">
        <v>97337000</v>
      </c>
      <c r="G86" s="4">
        <v>82297000</v>
      </c>
      <c r="H86" s="4">
        <v>72700000</v>
      </c>
      <c r="I86" s="4">
        <v>56427000</v>
      </c>
      <c r="J86" s="4">
        <v>45690000</v>
      </c>
      <c r="K86" s="4">
        <v>47095000</v>
      </c>
      <c r="L86" s="4">
        <v>37636000</v>
      </c>
      <c r="M86" s="4">
        <v>28802000</v>
      </c>
      <c r="N86" s="4">
        <v>1800167000</v>
      </c>
      <c r="O86" s="5">
        <v>1795876000</v>
      </c>
      <c r="P86" s="4">
        <v>1802576000</v>
      </c>
      <c r="Q86" s="4">
        <v>1800167000</v>
      </c>
      <c r="R86" s="4">
        <v>1798918000</v>
      </c>
      <c r="S86" s="4">
        <v>1795876000</v>
      </c>
    </row>
    <row r="87" spans="1:19" ht="16" x14ac:dyDescent="0.2">
      <c r="A87" s="3" t="s">
        <v>96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ht="16" x14ac:dyDescent="0.2">
      <c r="A88" s="3" t="s">
        <v>97</v>
      </c>
      <c r="B88" s="4" t="s">
        <v>24</v>
      </c>
      <c r="C88" s="4" t="s">
        <v>24</v>
      </c>
      <c r="D88" s="4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5" t="s">
        <v>24</v>
      </c>
      <c r="P88" s="4" t="s">
        <v>24</v>
      </c>
      <c r="Q88" s="4" t="s">
        <v>24</v>
      </c>
      <c r="R88" s="4" t="s">
        <v>24</v>
      </c>
      <c r="S88" s="4" t="s">
        <v>24</v>
      </c>
    </row>
    <row r="89" spans="1:19" ht="16" x14ac:dyDescent="0.2">
      <c r="A89" s="3" t="s">
        <v>98</v>
      </c>
      <c r="B89" s="4">
        <v>52992000</v>
      </c>
      <c r="C89" s="4">
        <v>53785000</v>
      </c>
      <c r="D89" s="4">
        <v>74351000</v>
      </c>
      <c r="E89" s="4">
        <v>73289000</v>
      </c>
      <c r="F89" s="4">
        <v>43854000</v>
      </c>
      <c r="G89" s="4">
        <v>28311000</v>
      </c>
      <c r="H89" s="4">
        <v>22645000</v>
      </c>
      <c r="I89" s="4">
        <v>25499000</v>
      </c>
      <c r="J89" s="4">
        <v>19088000</v>
      </c>
      <c r="K89" s="4">
        <v>114718000</v>
      </c>
      <c r="L89" s="4">
        <v>447944000</v>
      </c>
      <c r="M89" s="4">
        <v>662676000</v>
      </c>
      <c r="N89" s="4">
        <v>636543000</v>
      </c>
      <c r="O89" s="5">
        <v>552543000</v>
      </c>
      <c r="P89" s="4">
        <v>491118000</v>
      </c>
      <c r="Q89" s="4">
        <v>636543000</v>
      </c>
      <c r="R89" s="4">
        <v>546022000</v>
      </c>
      <c r="S89" s="4">
        <v>552543000</v>
      </c>
    </row>
    <row r="90" spans="1:19" ht="16" x14ac:dyDescent="0.2">
      <c r="A90" s="3" t="s">
        <v>99</v>
      </c>
      <c r="B90" s="4">
        <v>549481000</v>
      </c>
      <c r="C90" s="4">
        <v>695453000</v>
      </c>
      <c r="D90" s="4">
        <v>829638000</v>
      </c>
      <c r="E90" s="4">
        <v>875159000</v>
      </c>
      <c r="F90" s="4">
        <v>806931000</v>
      </c>
      <c r="G90" s="4">
        <v>608020000</v>
      </c>
      <c r="H90" s="4">
        <v>566390000</v>
      </c>
      <c r="I90" s="4">
        <v>543695000</v>
      </c>
      <c r="J90" s="4">
        <v>468901000</v>
      </c>
      <c r="K90" s="4">
        <v>738802000</v>
      </c>
      <c r="L90" s="4">
        <v>1118723000</v>
      </c>
      <c r="M90" s="4">
        <v>1545068000</v>
      </c>
      <c r="N90" s="4">
        <v>4501797000</v>
      </c>
      <c r="O90" s="5">
        <v>4603125000</v>
      </c>
      <c r="P90" s="4">
        <v>4543168000</v>
      </c>
      <c r="Q90" s="4">
        <v>4501797000</v>
      </c>
      <c r="R90" s="4">
        <v>4595635000</v>
      </c>
      <c r="S90" s="4">
        <v>4603125000</v>
      </c>
    </row>
    <row r="91" spans="1:19" ht="16" x14ac:dyDescent="0.2">
      <c r="A91" s="3" t="s">
        <v>100</v>
      </c>
      <c r="B91" s="4">
        <v>118241000</v>
      </c>
      <c r="C91" s="4">
        <v>151296000</v>
      </c>
      <c r="D91" s="4">
        <v>153552000</v>
      </c>
      <c r="E91" s="4">
        <v>170553000</v>
      </c>
      <c r="F91" s="4">
        <v>136728000</v>
      </c>
      <c r="G91" s="4">
        <v>162325000</v>
      </c>
      <c r="H91" s="4">
        <v>146802000</v>
      </c>
      <c r="I91" s="4">
        <v>156342000</v>
      </c>
      <c r="J91" s="4">
        <v>184491000</v>
      </c>
      <c r="K91" s="4">
        <v>208638000</v>
      </c>
      <c r="L91" s="4">
        <v>244520000</v>
      </c>
      <c r="M91" s="4">
        <v>345311000</v>
      </c>
      <c r="N91" s="4">
        <v>559456000</v>
      </c>
      <c r="O91" s="5">
        <v>588284000</v>
      </c>
      <c r="P91" s="4">
        <v>405315000</v>
      </c>
      <c r="Q91" s="4">
        <v>559456000</v>
      </c>
      <c r="R91" s="4">
        <v>543836000</v>
      </c>
      <c r="S91" s="4">
        <v>588284000</v>
      </c>
    </row>
    <row r="92" spans="1:19" ht="16" x14ac:dyDescent="0.2">
      <c r="A92" s="3" t="s">
        <v>101</v>
      </c>
      <c r="B92" s="4">
        <v>35669000</v>
      </c>
      <c r="C92" s="4">
        <v>66517000</v>
      </c>
      <c r="D92" s="4">
        <v>63976000</v>
      </c>
      <c r="E92" s="4">
        <v>57450000</v>
      </c>
      <c r="F92" s="4">
        <v>42923000</v>
      </c>
      <c r="G92" s="4">
        <v>63336000</v>
      </c>
      <c r="H92" s="4">
        <v>61927000</v>
      </c>
      <c r="I92" s="4">
        <v>66381000</v>
      </c>
      <c r="J92" s="4">
        <v>77231000</v>
      </c>
      <c r="K92" s="4">
        <v>95754000</v>
      </c>
      <c r="L92" s="4">
        <v>112778000</v>
      </c>
      <c r="M92" s="4">
        <v>162145000</v>
      </c>
      <c r="N92" s="4">
        <v>230821000</v>
      </c>
      <c r="O92" s="5">
        <v>261909000</v>
      </c>
      <c r="P92" s="4">
        <v>190097000</v>
      </c>
      <c r="Q92" s="4">
        <v>230821000</v>
      </c>
      <c r="R92" s="4">
        <v>232383000</v>
      </c>
      <c r="S92" s="4">
        <v>261909000</v>
      </c>
    </row>
    <row r="93" spans="1:19" ht="16" x14ac:dyDescent="0.2">
      <c r="A93" s="3" t="s">
        <v>102</v>
      </c>
      <c r="B93" s="4">
        <v>23084000</v>
      </c>
      <c r="C93" s="4">
        <v>8273000</v>
      </c>
      <c r="D93" s="4">
        <v>8205000</v>
      </c>
      <c r="E93" s="4">
        <v>15992000</v>
      </c>
      <c r="F93" s="4">
        <v>9078000</v>
      </c>
      <c r="G93" s="4">
        <v>6416000</v>
      </c>
      <c r="H93" s="4">
        <v>6593000</v>
      </c>
      <c r="I93" s="4">
        <v>5515000</v>
      </c>
      <c r="J93" s="4">
        <v>5089000</v>
      </c>
      <c r="K93" s="4">
        <v>4207000</v>
      </c>
      <c r="L93" s="4">
        <v>5038000</v>
      </c>
      <c r="M93" s="4">
        <v>16279000</v>
      </c>
      <c r="N93" s="4">
        <v>89211000</v>
      </c>
      <c r="O93" s="5">
        <v>84845000</v>
      </c>
      <c r="P93" s="4">
        <v>98704000</v>
      </c>
      <c r="Q93" s="4">
        <v>89211000</v>
      </c>
      <c r="R93" s="4">
        <v>109632000</v>
      </c>
      <c r="S93" s="4">
        <v>84845000</v>
      </c>
    </row>
    <row r="94" spans="1:19" ht="16" x14ac:dyDescent="0.2">
      <c r="A94" s="3" t="s">
        <v>103</v>
      </c>
      <c r="B94" s="4" t="s">
        <v>24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5" t="s">
        <v>24</v>
      </c>
      <c r="P94" s="4" t="s">
        <v>24</v>
      </c>
      <c r="Q94" s="4" t="s">
        <v>24</v>
      </c>
      <c r="R94" s="4" t="s">
        <v>24</v>
      </c>
      <c r="S94" s="4" t="s">
        <v>24</v>
      </c>
    </row>
    <row r="95" spans="1:19" ht="16" x14ac:dyDescent="0.2">
      <c r="A95" s="3" t="s">
        <v>104</v>
      </c>
      <c r="B95" s="4">
        <v>59488000</v>
      </c>
      <c r="C95" s="4">
        <v>76506000</v>
      </c>
      <c r="D95" s="4">
        <v>81371000</v>
      </c>
      <c r="E95" s="4">
        <v>97111000</v>
      </c>
      <c r="F95" s="4">
        <v>84727000</v>
      </c>
      <c r="G95" s="4">
        <v>92573000</v>
      </c>
      <c r="H95" s="4">
        <v>78282000</v>
      </c>
      <c r="I95" s="4">
        <v>84446000</v>
      </c>
      <c r="J95" s="4">
        <v>102171000</v>
      </c>
      <c r="K95" s="4">
        <v>108677000</v>
      </c>
      <c r="L95" s="4">
        <v>126704000</v>
      </c>
      <c r="M95" s="4">
        <v>166887000</v>
      </c>
      <c r="N95" s="4">
        <v>239424000</v>
      </c>
      <c r="O95" s="5">
        <v>241530000</v>
      </c>
      <c r="P95" s="4">
        <v>116514000</v>
      </c>
      <c r="Q95" s="4">
        <v>239424000</v>
      </c>
      <c r="R95" s="4">
        <v>201821000</v>
      </c>
      <c r="S95" s="4">
        <v>241530000</v>
      </c>
    </row>
    <row r="96" spans="1:19" ht="16" x14ac:dyDescent="0.2">
      <c r="A96" s="3" t="s">
        <v>105</v>
      </c>
      <c r="B96" s="4">
        <v>1901000</v>
      </c>
      <c r="C96" s="4">
        <v>1118000</v>
      </c>
      <c r="D96" s="4">
        <v>2039000</v>
      </c>
      <c r="E96" s="4">
        <v>5176000</v>
      </c>
      <c r="F96" s="4">
        <v>5288000</v>
      </c>
      <c r="G96" s="4">
        <v>4772000</v>
      </c>
      <c r="H96" s="4">
        <v>2338000</v>
      </c>
      <c r="I96" s="4">
        <v>676000</v>
      </c>
      <c r="J96" s="4" t="s">
        <v>24</v>
      </c>
      <c r="K96" s="4">
        <v>48585000</v>
      </c>
      <c r="L96" s="4">
        <v>47064000</v>
      </c>
      <c r="M96" s="4">
        <v>42932000</v>
      </c>
      <c r="N96" s="4">
        <v>81818000</v>
      </c>
      <c r="O96" s="5">
        <v>77656000</v>
      </c>
      <c r="P96" s="4">
        <v>75102000</v>
      </c>
      <c r="Q96" s="4">
        <v>81818000</v>
      </c>
      <c r="R96" s="4">
        <v>90530000</v>
      </c>
      <c r="S96" s="4">
        <v>77656000</v>
      </c>
    </row>
    <row r="97" spans="1:19" ht="16" x14ac:dyDescent="0.2">
      <c r="A97" s="3" t="s">
        <v>106</v>
      </c>
      <c r="B97" s="4">
        <v>1901000</v>
      </c>
      <c r="C97" s="4">
        <v>10251000</v>
      </c>
      <c r="D97" s="4">
        <v>2039000</v>
      </c>
      <c r="E97" s="4">
        <v>5176000</v>
      </c>
      <c r="F97" s="4">
        <v>5288000</v>
      </c>
      <c r="G97" s="4">
        <v>4772000</v>
      </c>
      <c r="H97" s="4">
        <v>2338000</v>
      </c>
      <c r="I97" s="4">
        <v>676000</v>
      </c>
      <c r="J97" s="4" t="s">
        <v>24</v>
      </c>
      <c r="K97" s="4" t="s">
        <v>24</v>
      </c>
      <c r="L97" s="4" t="s">
        <v>24</v>
      </c>
      <c r="M97" s="4" t="s">
        <v>24</v>
      </c>
      <c r="N97" s="4">
        <v>24362000</v>
      </c>
      <c r="O97" s="5">
        <v>20000000</v>
      </c>
      <c r="P97" s="4">
        <v>20000000</v>
      </c>
      <c r="Q97" s="4">
        <v>24362000</v>
      </c>
      <c r="R97" s="4">
        <v>32970000</v>
      </c>
      <c r="S97" s="4">
        <v>20000000</v>
      </c>
    </row>
    <row r="98" spans="1:19" ht="16" x14ac:dyDescent="0.2">
      <c r="A98" s="3" t="s">
        <v>107</v>
      </c>
      <c r="B98" s="4" t="s">
        <v>24</v>
      </c>
      <c r="C98" s="4">
        <v>1118000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>
        <v>48585000</v>
      </c>
      <c r="L98" s="4">
        <v>47064000</v>
      </c>
      <c r="M98" s="4">
        <v>42932000</v>
      </c>
      <c r="N98" s="4">
        <v>57456000</v>
      </c>
      <c r="O98" s="5">
        <v>57656000</v>
      </c>
      <c r="P98" s="4">
        <v>55102000</v>
      </c>
      <c r="Q98" s="4">
        <v>57456000</v>
      </c>
      <c r="R98" s="4">
        <v>57560000</v>
      </c>
      <c r="S98" s="4">
        <v>57656000</v>
      </c>
    </row>
    <row r="99" spans="1:19" ht="16" x14ac:dyDescent="0.2">
      <c r="A99" s="3" t="s">
        <v>108</v>
      </c>
      <c r="B99" s="4">
        <v>17620000</v>
      </c>
      <c r="C99" s="4">
        <v>2889000</v>
      </c>
      <c r="D99" s="4">
        <v>2405000</v>
      </c>
      <c r="E99" s="4">
        <v>11199000</v>
      </c>
      <c r="F99" s="4">
        <v>11869000</v>
      </c>
      <c r="G99" s="4" t="s">
        <v>24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5" t="s">
        <v>24</v>
      </c>
      <c r="P99" s="4">
        <v>90743000</v>
      </c>
      <c r="Q99" s="4" t="s">
        <v>24</v>
      </c>
      <c r="R99" s="4" t="s">
        <v>24</v>
      </c>
      <c r="S99" s="4" t="s">
        <v>24</v>
      </c>
    </row>
    <row r="100" spans="1:19" ht="16" x14ac:dyDescent="0.2">
      <c r="A100" s="3" t="s">
        <v>109</v>
      </c>
      <c r="B100" s="4" t="s">
        <v>24</v>
      </c>
      <c r="C100" s="4" t="s">
        <v>24</v>
      </c>
      <c r="D100" s="4">
        <v>2593000</v>
      </c>
      <c r="E100" s="4">
        <v>6940000</v>
      </c>
      <c r="F100" s="4">
        <v>3075000</v>
      </c>
      <c r="G100" s="4">
        <v>3236000</v>
      </c>
      <c r="H100" s="4">
        <v>7475000</v>
      </c>
      <c r="I100" s="4">
        <v>6193000</v>
      </c>
      <c r="J100" s="4">
        <v>3356000</v>
      </c>
      <c r="K100" s="4">
        <v>3740000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ht="16" x14ac:dyDescent="0.2">
      <c r="A101" s="3" t="s">
        <v>110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ht="16" x14ac:dyDescent="0.2">
      <c r="A102" s="3" t="s">
        <v>111</v>
      </c>
      <c r="B102" s="4">
        <v>17620000</v>
      </c>
      <c r="C102" s="4">
        <v>2889000</v>
      </c>
      <c r="D102" s="4">
        <v>2405000</v>
      </c>
      <c r="E102" s="4">
        <v>11199000</v>
      </c>
      <c r="F102" s="4">
        <v>11869000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5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</row>
    <row r="103" spans="1:19" ht="16" x14ac:dyDescent="0.2">
      <c r="A103" s="3" t="s">
        <v>112</v>
      </c>
      <c r="B103" s="4" t="s">
        <v>24</v>
      </c>
      <c r="C103" s="4" t="s">
        <v>24</v>
      </c>
      <c r="D103" s="4">
        <v>-2593000</v>
      </c>
      <c r="E103" s="4">
        <v>-6940000</v>
      </c>
      <c r="F103" s="4">
        <v>-3075000</v>
      </c>
      <c r="G103" s="4">
        <v>-3236000</v>
      </c>
      <c r="H103" s="4">
        <v>-7475000</v>
      </c>
      <c r="I103" s="4">
        <v>-6193000</v>
      </c>
      <c r="J103" s="4">
        <v>-3356000</v>
      </c>
      <c r="K103" s="4">
        <v>-3740000</v>
      </c>
      <c r="L103" s="4" t="s">
        <v>24</v>
      </c>
      <c r="M103" s="4" t="s">
        <v>24</v>
      </c>
      <c r="N103" s="4" t="s">
        <v>24</v>
      </c>
      <c r="O103" s="5" t="s">
        <v>24</v>
      </c>
      <c r="P103" s="4">
        <v>90743000</v>
      </c>
      <c r="Q103" s="4" t="s">
        <v>24</v>
      </c>
      <c r="R103" s="4" t="s">
        <v>24</v>
      </c>
      <c r="S103" s="4" t="s">
        <v>24</v>
      </c>
    </row>
    <row r="104" spans="1:19" ht="16" x14ac:dyDescent="0.2">
      <c r="A104" s="3" t="s">
        <v>113</v>
      </c>
      <c r="B104" s="4">
        <v>137762000</v>
      </c>
      <c r="C104" s="4">
        <v>155303000</v>
      </c>
      <c r="D104" s="4">
        <v>157996000</v>
      </c>
      <c r="E104" s="4">
        <v>186928000</v>
      </c>
      <c r="F104" s="4">
        <v>153885000</v>
      </c>
      <c r="G104" s="4">
        <v>167097000</v>
      </c>
      <c r="H104" s="4">
        <v>149140000</v>
      </c>
      <c r="I104" s="4">
        <v>157018000</v>
      </c>
      <c r="J104" s="4">
        <v>184491000</v>
      </c>
      <c r="K104" s="4">
        <v>257223000</v>
      </c>
      <c r="L104" s="4">
        <v>291584000</v>
      </c>
      <c r="M104" s="4">
        <v>388243000</v>
      </c>
      <c r="N104" s="4">
        <v>641274000</v>
      </c>
      <c r="O104" s="5">
        <v>665940000</v>
      </c>
      <c r="P104" s="4">
        <v>571160000</v>
      </c>
      <c r="Q104" s="4">
        <v>641274000</v>
      </c>
      <c r="R104" s="4">
        <v>634366000</v>
      </c>
      <c r="S104" s="4">
        <v>665940000</v>
      </c>
    </row>
    <row r="105" spans="1:19" ht="16" x14ac:dyDescent="0.2">
      <c r="A105" s="3" t="s">
        <v>114</v>
      </c>
      <c r="B105" s="4" t="s">
        <v>24</v>
      </c>
      <c r="C105" s="4" t="s">
        <v>24</v>
      </c>
      <c r="D105" s="4">
        <v>4596000</v>
      </c>
      <c r="E105" s="4">
        <v>11670000</v>
      </c>
      <c r="F105" s="4">
        <v>6381000</v>
      </c>
      <c r="G105" s="4">
        <v>1627000</v>
      </c>
      <c r="H105" s="4">
        <v>40000</v>
      </c>
      <c r="I105" s="4" t="s">
        <v>24</v>
      </c>
      <c r="J105" s="4">
        <v>120000000</v>
      </c>
      <c r="K105" s="4">
        <v>345148000</v>
      </c>
      <c r="L105" s="4">
        <v>326401000</v>
      </c>
      <c r="M105" s="4">
        <v>920627000</v>
      </c>
      <c r="N105" s="4">
        <v>2513146000</v>
      </c>
      <c r="O105" s="5">
        <v>2211573000</v>
      </c>
      <c r="P105" s="4">
        <v>2821162000</v>
      </c>
      <c r="Q105" s="4">
        <v>2513146000</v>
      </c>
      <c r="R105" s="4">
        <v>2460105000</v>
      </c>
      <c r="S105" s="4">
        <v>2211573000</v>
      </c>
    </row>
    <row r="106" spans="1:19" ht="16" x14ac:dyDescent="0.2">
      <c r="A106" s="3" t="s">
        <v>115</v>
      </c>
      <c r="B106" s="4" t="s">
        <v>24</v>
      </c>
      <c r="C106" s="4" t="s">
        <v>24</v>
      </c>
      <c r="D106" s="4">
        <v>4596000</v>
      </c>
      <c r="E106" s="4">
        <v>11670000</v>
      </c>
      <c r="F106" s="4">
        <v>6381000</v>
      </c>
      <c r="G106" s="4">
        <v>1627000</v>
      </c>
      <c r="H106" s="4">
        <v>40000</v>
      </c>
      <c r="I106" s="4" t="s">
        <v>24</v>
      </c>
      <c r="J106" s="4">
        <v>120000000</v>
      </c>
      <c r="K106" s="4">
        <v>205000000</v>
      </c>
      <c r="L106" s="4">
        <v>180000000</v>
      </c>
      <c r="M106" s="4">
        <v>771390000</v>
      </c>
      <c r="N106" s="4">
        <v>2298027000</v>
      </c>
      <c r="O106" s="5">
        <v>2007485000</v>
      </c>
      <c r="P106" s="4">
        <v>2595767000</v>
      </c>
      <c r="Q106" s="4">
        <v>2298027000</v>
      </c>
      <c r="R106" s="4">
        <v>2250288000</v>
      </c>
      <c r="S106" s="4">
        <v>2007485000</v>
      </c>
    </row>
    <row r="107" spans="1:19" ht="16" x14ac:dyDescent="0.2">
      <c r="A107" s="3" t="s">
        <v>116</v>
      </c>
      <c r="B107" s="4" t="s">
        <v>24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>
        <v>140148000</v>
      </c>
      <c r="L107" s="4">
        <v>146401000</v>
      </c>
      <c r="M107" s="4">
        <v>149237000</v>
      </c>
      <c r="N107" s="4">
        <v>215119000</v>
      </c>
      <c r="O107" s="5">
        <v>204088000</v>
      </c>
      <c r="P107" s="4">
        <v>225395000</v>
      </c>
      <c r="Q107" s="4">
        <v>215119000</v>
      </c>
      <c r="R107" s="4">
        <v>209817000</v>
      </c>
      <c r="S107" s="4">
        <v>204088000</v>
      </c>
    </row>
    <row r="108" spans="1:19" ht="16" x14ac:dyDescent="0.2">
      <c r="A108" s="3" t="s">
        <v>117</v>
      </c>
      <c r="B108" s="4">
        <v>35613000</v>
      </c>
      <c r="C108" s="4">
        <v>48370000</v>
      </c>
      <c r="D108" s="4">
        <v>49646000</v>
      </c>
      <c r="E108" s="4">
        <v>51817000</v>
      </c>
      <c r="F108" s="4">
        <v>21468000</v>
      </c>
      <c r="G108" s="4">
        <v>17667000</v>
      </c>
      <c r="H108" s="4">
        <v>17926000</v>
      </c>
      <c r="I108" s="4">
        <v>18379000</v>
      </c>
      <c r="J108" s="4">
        <v>14102000</v>
      </c>
      <c r="K108" s="4">
        <v>4526000</v>
      </c>
      <c r="L108" s="4">
        <v>210105000</v>
      </c>
      <c r="M108" s="4">
        <v>222116000</v>
      </c>
      <c r="N108" s="4">
        <v>529446000</v>
      </c>
      <c r="O108" s="5">
        <v>535922000</v>
      </c>
      <c r="P108" s="4">
        <v>520044000</v>
      </c>
      <c r="Q108" s="4">
        <v>529446000</v>
      </c>
      <c r="R108" s="4">
        <v>532664000</v>
      </c>
      <c r="S108" s="4">
        <v>535922000</v>
      </c>
    </row>
    <row r="109" spans="1:19" ht="16" x14ac:dyDescent="0.2">
      <c r="A109" s="3" t="s">
        <v>118</v>
      </c>
      <c r="B109" s="4">
        <v>30708000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>
        <v>176000</v>
      </c>
      <c r="N109" s="4">
        <v>302030000</v>
      </c>
      <c r="O109" s="5">
        <v>301902000</v>
      </c>
      <c r="P109" s="4">
        <v>312813000</v>
      </c>
      <c r="Q109" s="4">
        <v>302030000</v>
      </c>
      <c r="R109" s="4">
        <v>301968000</v>
      </c>
      <c r="S109" s="4">
        <v>301902000</v>
      </c>
    </row>
    <row r="110" spans="1:19" ht="16" x14ac:dyDescent="0.2">
      <c r="A110" s="3" t="s">
        <v>119</v>
      </c>
      <c r="B110" s="4" t="s">
        <v>24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5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</row>
    <row r="111" spans="1:19" ht="16" x14ac:dyDescent="0.2">
      <c r="A111" s="3" t="s">
        <v>109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ht="16" x14ac:dyDescent="0.2">
      <c r="A112" s="3" t="s">
        <v>111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19" ht="16" x14ac:dyDescent="0.2">
      <c r="A113" s="3" t="s">
        <v>110</v>
      </c>
      <c r="B113" s="4" t="s">
        <v>24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5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</row>
    <row r="114" spans="1:19" ht="16" x14ac:dyDescent="0.2">
      <c r="A114" s="3" t="s">
        <v>120</v>
      </c>
      <c r="B114" s="4">
        <v>4905000</v>
      </c>
      <c r="C114" s="4">
        <v>48370000</v>
      </c>
      <c r="D114" s="4">
        <v>49646000</v>
      </c>
      <c r="E114" s="4">
        <v>51817000</v>
      </c>
      <c r="F114" s="4">
        <v>21468000</v>
      </c>
      <c r="G114" s="4">
        <v>17667000</v>
      </c>
      <c r="H114" s="4">
        <v>17926000</v>
      </c>
      <c r="I114" s="4">
        <v>18379000</v>
      </c>
      <c r="J114" s="4">
        <v>14102000</v>
      </c>
      <c r="K114" s="4">
        <v>4526000</v>
      </c>
      <c r="L114" s="4">
        <v>210105000</v>
      </c>
      <c r="M114" s="4">
        <v>221940000</v>
      </c>
      <c r="N114" s="4">
        <v>227416000</v>
      </c>
      <c r="O114" s="5">
        <v>234020000</v>
      </c>
      <c r="P114" s="4">
        <v>207231000</v>
      </c>
      <c r="Q114" s="4">
        <v>227416000</v>
      </c>
      <c r="R114" s="4">
        <v>230696000</v>
      </c>
      <c r="S114" s="4">
        <v>234020000</v>
      </c>
    </row>
    <row r="115" spans="1:19" ht="16" x14ac:dyDescent="0.2">
      <c r="A115" s="3" t="s">
        <v>121</v>
      </c>
      <c r="B115" s="4">
        <v>35613000</v>
      </c>
      <c r="C115" s="4">
        <v>48370000</v>
      </c>
      <c r="D115" s="4">
        <v>54242000</v>
      </c>
      <c r="E115" s="4">
        <v>63487000</v>
      </c>
      <c r="F115" s="4">
        <v>27849000</v>
      </c>
      <c r="G115" s="4">
        <v>19294000</v>
      </c>
      <c r="H115" s="4">
        <v>17966000</v>
      </c>
      <c r="I115" s="4">
        <v>18379000</v>
      </c>
      <c r="J115" s="4">
        <v>134102000</v>
      </c>
      <c r="K115" s="4">
        <v>349674000</v>
      </c>
      <c r="L115" s="4">
        <v>536506000</v>
      </c>
      <c r="M115" s="4">
        <v>1142743000</v>
      </c>
      <c r="N115" s="4">
        <v>3042592000</v>
      </c>
      <c r="O115" s="5">
        <v>2747495000</v>
      </c>
      <c r="P115" s="4">
        <v>3341206000</v>
      </c>
      <c r="Q115" s="4">
        <v>3042592000</v>
      </c>
      <c r="R115" s="4">
        <v>2992769000</v>
      </c>
      <c r="S115" s="4">
        <v>2747495000</v>
      </c>
    </row>
    <row r="116" spans="1:19" ht="16" x14ac:dyDescent="0.2">
      <c r="A116" s="3" t="s">
        <v>122</v>
      </c>
      <c r="B116" s="4">
        <v>173375000</v>
      </c>
      <c r="C116" s="4">
        <v>203673000</v>
      </c>
      <c r="D116" s="4">
        <v>212238000</v>
      </c>
      <c r="E116" s="4">
        <v>250415000</v>
      </c>
      <c r="F116" s="4">
        <v>181734000</v>
      </c>
      <c r="G116" s="4">
        <v>186391000</v>
      </c>
      <c r="H116" s="4">
        <v>167106000</v>
      </c>
      <c r="I116" s="4">
        <v>175397000</v>
      </c>
      <c r="J116" s="4">
        <v>318593000</v>
      </c>
      <c r="K116" s="4">
        <v>606897000</v>
      </c>
      <c r="L116" s="4">
        <v>828090000</v>
      </c>
      <c r="M116" s="4">
        <v>1530986000</v>
      </c>
      <c r="N116" s="4">
        <v>3683866000</v>
      </c>
      <c r="O116" s="5">
        <v>3413435000</v>
      </c>
      <c r="P116" s="4">
        <v>3912366000</v>
      </c>
      <c r="Q116" s="4">
        <v>3683866000</v>
      </c>
      <c r="R116" s="4">
        <v>3627135000</v>
      </c>
      <c r="S116" s="4">
        <v>3413435000</v>
      </c>
    </row>
    <row r="117" spans="1:19" ht="16" x14ac:dyDescent="0.2">
      <c r="A117" s="3" t="s">
        <v>123</v>
      </c>
      <c r="B117" s="4" t="s">
        <v>24</v>
      </c>
      <c r="C117" s="4" t="s">
        <v>24</v>
      </c>
      <c r="D117" s="4" t="s">
        <v>24</v>
      </c>
      <c r="E117" s="4" t="s">
        <v>24</v>
      </c>
      <c r="F117" s="4">
        <v>172679000</v>
      </c>
      <c r="G117" s="4">
        <v>175657000</v>
      </c>
      <c r="H117" s="4">
        <v>178901000</v>
      </c>
      <c r="I117" s="4">
        <v>182433000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5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</row>
    <row r="118" spans="1:19" ht="16" x14ac:dyDescent="0.2">
      <c r="A118" s="3" t="s">
        <v>124</v>
      </c>
      <c r="B118" s="4">
        <v>277381000</v>
      </c>
      <c r="C118" s="4">
        <v>294049000</v>
      </c>
      <c r="D118" s="4">
        <v>307914000</v>
      </c>
      <c r="E118" s="4">
        <v>321624000</v>
      </c>
      <c r="F118" s="4">
        <v>345824000</v>
      </c>
      <c r="G118" s="4">
        <v>353335000</v>
      </c>
      <c r="H118" s="4">
        <v>364491000</v>
      </c>
      <c r="I118" s="4">
        <v>373140000</v>
      </c>
      <c r="J118" s="4">
        <v>481236000</v>
      </c>
      <c r="K118" s="4">
        <v>496007000</v>
      </c>
      <c r="L118" s="4">
        <v>482490000</v>
      </c>
      <c r="M118" s="4">
        <v>496142000</v>
      </c>
      <c r="N118" s="4">
        <v>797724000</v>
      </c>
      <c r="O118" s="5">
        <v>813576000</v>
      </c>
      <c r="P118" s="4">
        <v>791859000</v>
      </c>
      <c r="Q118" s="4">
        <v>797724000</v>
      </c>
      <c r="R118" s="4">
        <v>805188000</v>
      </c>
      <c r="S118" s="4">
        <v>813576000</v>
      </c>
    </row>
    <row r="119" spans="1:19" ht="16" x14ac:dyDescent="0.2">
      <c r="A119" s="3" t="s">
        <v>125</v>
      </c>
      <c r="B119" s="4">
        <v>88000</v>
      </c>
      <c r="C119" s="4">
        <v>90000</v>
      </c>
      <c r="D119" s="4">
        <v>91000</v>
      </c>
      <c r="E119" s="4">
        <v>92000</v>
      </c>
      <c r="F119" s="4">
        <v>92000</v>
      </c>
      <c r="G119" s="4">
        <v>94000</v>
      </c>
      <c r="H119" s="4">
        <v>94000</v>
      </c>
      <c r="I119" s="4">
        <v>95000</v>
      </c>
      <c r="J119" s="4">
        <v>103000</v>
      </c>
      <c r="K119" s="4">
        <v>104000</v>
      </c>
      <c r="L119" s="4">
        <v>105000</v>
      </c>
      <c r="M119" s="4">
        <v>106000</v>
      </c>
      <c r="N119" s="4">
        <v>110000</v>
      </c>
      <c r="O119" s="5">
        <v>110000</v>
      </c>
      <c r="P119" s="4">
        <v>109000</v>
      </c>
      <c r="Q119" s="4">
        <v>110000</v>
      </c>
      <c r="R119" s="4">
        <v>110000</v>
      </c>
      <c r="S119" s="4">
        <v>110000</v>
      </c>
    </row>
    <row r="120" spans="1:19" ht="16" x14ac:dyDescent="0.2">
      <c r="A120" s="3" t="s">
        <v>126</v>
      </c>
      <c r="B120" s="4">
        <v>277293000</v>
      </c>
      <c r="C120" s="4">
        <v>293959000</v>
      </c>
      <c r="D120" s="4">
        <v>307823000</v>
      </c>
      <c r="E120" s="4">
        <v>321532000</v>
      </c>
      <c r="F120" s="4">
        <v>345732000</v>
      </c>
      <c r="G120" s="4">
        <v>353241000</v>
      </c>
      <c r="H120" s="4">
        <v>364397000</v>
      </c>
      <c r="I120" s="4">
        <v>373045000</v>
      </c>
      <c r="J120" s="4">
        <v>481133000</v>
      </c>
      <c r="K120" s="4">
        <v>495903000</v>
      </c>
      <c r="L120" s="4">
        <v>482385000</v>
      </c>
      <c r="M120" s="4">
        <v>496036000</v>
      </c>
      <c r="N120" s="4">
        <v>797614000</v>
      </c>
      <c r="O120" s="5">
        <v>813466000</v>
      </c>
      <c r="P120" s="4">
        <v>791750000</v>
      </c>
      <c r="Q120" s="4">
        <v>797614000</v>
      </c>
      <c r="R120" s="4">
        <v>805078000</v>
      </c>
      <c r="S120" s="4">
        <v>813466000</v>
      </c>
    </row>
    <row r="121" spans="1:19" ht="16" x14ac:dyDescent="0.2">
      <c r="A121" s="3" t="s">
        <v>127</v>
      </c>
      <c r="B121" s="4">
        <v>22008000</v>
      </c>
      <c r="C121" s="4">
        <v>19759000</v>
      </c>
      <c r="D121" s="4">
        <v>44214000</v>
      </c>
      <c r="E121" s="4">
        <v>55964000</v>
      </c>
      <c r="F121" s="4">
        <v>200424000</v>
      </c>
      <c r="G121" s="4">
        <v>283913000</v>
      </c>
      <c r="H121" s="4">
        <v>284237000</v>
      </c>
      <c r="I121" s="4">
        <v>334312000</v>
      </c>
      <c r="J121" s="4">
        <v>397491000</v>
      </c>
      <c r="K121" s="4">
        <v>546208000</v>
      </c>
      <c r="L121" s="4">
        <v>688849000</v>
      </c>
      <c r="M121" s="4">
        <v>1684262000</v>
      </c>
      <c r="N121" s="4">
        <v>1695501000</v>
      </c>
      <c r="O121" s="5">
        <v>1707136000</v>
      </c>
      <c r="P121" s="4">
        <v>1695463000</v>
      </c>
      <c r="Q121" s="4">
        <v>1695501000</v>
      </c>
      <c r="R121" s="4">
        <v>1705896000</v>
      </c>
      <c r="S121" s="4">
        <v>1707136000</v>
      </c>
    </row>
    <row r="122" spans="1:19" ht="16" x14ac:dyDescent="0.2">
      <c r="A122" s="3" t="s">
        <v>128</v>
      </c>
      <c r="B122" s="4">
        <v>89881000</v>
      </c>
      <c r="C122" s="4">
        <v>202669000</v>
      </c>
      <c r="D122" s="4">
        <v>334012000</v>
      </c>
      <c r="E122" s="4">
        <v>344432000</v>
      </c>
      <c r="F122" s="4">
        <v>325470000</v>
      </c>
      <c r="G122" s="4">
        <v>227463000</v>
      </c>
      <c r="H122" s="4">
        <v>195725000</v>
      </c>
      <c r="I122" s="4">
        <v>190431000</v>
      </c>
      <c r="J122" s="4">
        <v>121215000</v>
      </c>
      <c r="K122" s="4">
        <v>240485000</v>
      </c>
      <c r="L122" s="4">
        <v>553346000</v>
      </c>
      <c r="M122" s="4">
        <v>1279040000</v>
      </c>
      <c r="N122" s="4">
        <v>1819199000</v>
      </c>
      <c r="O122" s="5">
        <v>2181154000</v>
      </c>
      <c r="P122" s="4">
        <v>1681464000</v>
      </c>
      <c r="Q122" s="4">
        <v>1819199000</v>
      </c>
      <c r="R122" s="4">
        <v>1968742000</v>
      </c>
      <c r="S122" s="4">
        <v>2181154000</v>
      </c>
    </row>
    <row r="123" spans="1:19" ht="16" x14ac:dyDescent="0.2">
      <c r="A123" s="3" t="s">
        <v>129</v>
      </c>
      <c r="B123" s="4">
        <v>30852000</v>
      </c>
      <c r="C123" s="4">
        <v>14821000</v>
      </c>
      <c r="D123" s="4">
        <v>19688000</v>
      </c>
      <c r="E123" s="4">
        <v>14652000</v>
      </c>
      <c r="F123" s="4">
        <v>-18352000</v>
      </c>
      <c r="G123" s="4">
        <v>-50913000</v>
      </c>
      <c r="H123" s="4">
        <v>-55596000</v>
      </c>
      <c r="I123" s="4">
        <v>-43394000</v>
      </c>
      <c r="J123" s="4">
        <v>-54652000</v>
      </c>
      <c r="K123" s="4">
        <v>-58379000</v>
      </c>
      <c r="L123" s="4">
        <v>-56354000</v>
      </c>
      <c r="M123" s="4">
        <v>-76838000</v>
      </c>
      <c r="N123" s="4">
        <v>-103491000</v>
      </c>
      <c r="O123" s="5">
        <v>-97904000</v>
      </c>
      <c r="P123" s="4">
        <v>-147058000</v>
      </c>
      <c r="Q123" s="4">
        <v>-103491000</v>
      </c>
      <c r="R123" s="4">
        <v>-99534000</v>
      </c>
      <c r="S123" s="4">
        <v>-97904000</v>
      </c>
    </row>
    <row r="124" spans="1:19" ht="16" x14ac:dyDescent="0.2">
      <c r="A124" s="3" t="s">
        <v>130</v>
      </c>
      <c r="B124" s="4">
        <v>376106000</v>
      </c>
      <c r="C124" s="4">
        <v>491780000</v>
      </c>
      <c r="D124" s="4">
        <v>617400000</v>
      </c>
      <c r="E124" s="4">
        <v>624744000</v>
      </c>
      <c r="F124" s="4">
        <v>625197000</v>
      </c>
      <c r="G124" s="4">
        <v>421629000</v>
      </c>
      <c r="H124" s="4">
        <v>399284000</v>
      </c>
      <c r="I124" s="4">
        <v>368298000</v>
      </c>
      <c r="J124" s="4">
        <v>150308000</v>
      </c>
      <c r="K124" s="4">
        <v>131905000</v>
      </c>
      <c r="L124" s="4">
        <v>290633000</v>
      </c>
      <c r="M124" s="4">
        <v>14082000</v>
      </c>
      <c r="N124" s="4">
        <v>817931000</v>
      </c>
      <c r="O124" s="5">
        <v>1189690000</v>
      </c>
      <c r="P124" s="4">
        <v>630802000</v>
      </c>
      <c r="Q124" s="4">
        <v>817931000</v>
      </c>
      <c r="R124" s="4">
        <v>968500000</v>
      </c>
      <c r="S124" s="4">
        <v>1189690000</v>
      </c>
    </row>
    <row r="125" spans="1:19" ht="16" x14ac:dyDescent="0.2">
      <c r="A125" s="3" t="s">
        <v>131</v>
      </c>
      <c r="B125" s="4" t="s">
        <v>24</v>
      </c>
      <c r="C125" s="4" t="s">
        <v>24</v>
      </c>
      <c r="D125" s="4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5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</row>
    <row r="126" spans="1:19" ht="16" x14ac:dyDescent="0.2">
      <c r="A126" s="3" t="s">
        <v>132</v>
      </c>
      <c r="B126" s="4">
        <v>376106000</v>
      </c>
      <c r="C126" s="4">
        <v>491780000</v>
      </c>
      <c r="D126" s="4">
        <v>617400000</v>
      </c>
      <c r="E126" s="4">
        <v>624744000</v>
      </c>
      <c r="F126" s="4">
        <v>625197000</v>
      </c>
      <c r="G126" s="4">
        <v>421629000</v>
      </c>
      <c r="H126" s="4">
        <v>399284000</v>
      </c>
      <c r="I126" s="4">
        <v>368298000</v>
      </c>
      <c r="J126" s="4">
        <v>150308000</v>
      </c>
      <c r="K126" s="4">
        <v>131905000</v>
      </c>
      <c r="L126" s="4">
        <v>290633000</v>
      </c>
      <c r="M126" s="4">
        <v>14082000</v>
      </c>
      <c r="N126" s="4">
        <v>817931000</v>
      </c>
      <c r="O126" s="5">
        <v>1189690000</v>
      </c>
      <c r="P126" s="4">
        <v>630802000</v>
      </c>
      <c r="Q126" s="4">
        <v>817931000</v>
      </c>
      <c r="R126" s="4">
        <v>968500000</v>
      </c>
      <c r="S126" s="4">
        <v>1189690000</v>
      </c>
    </row>
    <row r="127" spans="1:19" ht="16" x14ac:dyDescent="0.2">
      <c r="A127" s="3" t="s">
        <v>133</v>
      </c>
      <c r="B127" s="4">
        <v>549481000</v>
      </c>
      <c r="C127" s="4">
        <v>695453000</v>
      </c>
      <c r="D127" s="4">
        <v>829638000</v>
      </c>
      <c r="E127" s="4">
        <v>875159000</v>
      </c>
      <c r="F127" s="4">
        <v>806931000</v>
      </c>
      <c r="G127" s="4">
        <v>608020000</v>
      </c>
      <c r="H127" s="4">
        <v>566390000</v>
      </c>
      <c r="I127" s="4">
        <v>543695000</v>
      </c>
      <c r="J127" s="4">
        <v>468901000</v>
      </c>
      <c r="K127" s="4">
        <v>738802000</v>
      </c>
      <c r="L127" s="4">
        <v>1118723000</v>
      </c>
      <c r="M127" s="4">
        <v>1545068000</v>
      </c>
      <c r="N127" s="4">
        <v>4501797000</v>
      </c>
      <c r="O127" s="5">
        <v>4603125000</v>
      </c>
      <c r="P127" s="4">
        <v>4543168000</v>
      </c>
      <c r="Q127" s="4">
        <v>4501797000</v>
      </c>
      <c r="R127" s="4">
        <v>4595635000</v>
      </c>
      <c r="S127" s="4">
        <v>4603125000</v>
      </c>
    </row>
    <row r="128" spans="1:19" ht="16" x14ac:dyDescent="0.2">
      <c r="A128" s="28" t="s">
        <v>134</v>
      </c>
      <c r="B128" s="26">
        <v>88065859</v>
      </c>
      <c r="C128" s="26">
        <v>89807146</v>
      </c>
      <c r="D128" s="26">
        <v>88662845</v>
      </c>
      <c r="E128" s="26">
        <v>88450203</v>
      </c>
      <c r="F128" s="26">
        <v>78516566</v>
      </c>
      <c r="G128" s="26">
        <v>72851418</v>
      </c>
      <c r="H128" s="26">
        <v>73600000</v>
      </c>
      <c r="I128" s="26">
        <v>68800000</v>
      </c>
      <c r="J128" s="26">
        <v>73300000</v>
      </c>
      <c r="K128" s="26">
        <v>68200000</v>
      </c>
      <c r="L128" s="26">
        <v>65900000</v>
      </c>
      <c r="M128" s="26">
        <v>58300000</v>
      </c>
      <c r="N128" s="26">
        <v>61700000</v>
      </c>
      <c r="O128" s="27">
        <v>62067000</v>
      </c>
      <c r="P128" s="26">
        <v>61700000</v>
      </c>
      <c r="Q128" s="26">
        <v>61700000</v>
      </c>
      <c r="R128" s="26">
        <v>62000000</v>
      </c>
      <c r="S128" s="26">
        <v>62067000</v>
      </c>
    </row>
    <row r="129" spans="1:19" ht="16" x14ac:dyDescent="0.2">
      <c r="A129" s="13" t="s">
        <v>197</v>
      </c>
      <c r="B129" s="10"/>
      <c r="C129" s="19">
        <f>(C128/B128)-1</f>
        <v>1.9772554537848874E-2</v>
      </c>
      <c r="D129" s="19">
        <f>(D128/C128)-1</f>
        <v>-1.2741758879633025E-2</v>
      </c>
      <c r="E129" s="19">
        <f>(E128/D128)-1</f>
        <v>-2.3983214163723066E-3</v>
      </c>
      <c r="F129" s="19">
        <f t="shared" ref="F129:N129" si="6">(F128/E128)-1</f>
        <v>-0.11230767893206528</v>
      </c>
      <c r="G129" s="19">
        <f t="shared" si="6"/>
        <v>-7.2152264020308832E-2</v>
      </c>
      <c r="H129" s="19">
        <f t="shared" si="6"/>
        <v>1.0275462311522876E-2</v>
      </c>
      <c r="I129" s="19">
        <f t="shared" si="6"/>
        <v>-6.5217391304347783E-2</v>
      </c>
      <c r="J129" s="19">
        <f t="shared" si="6"/>
        <v>6.5406976744186052E-2</v>
      </c>
      <c r="K129" s="19">
        <f t="shared" si="6"/>
        <v>-6.9577080491132315E-2</v>
      </c>
      <c r="L129" s="19">
        <f t="shared" si="6"/>
        <v>-3.3724340175953049E-2</v>
      </c>
      <c r="M129" s="19">
        <f t="shared" si="6"/>
        <v>-0.11532625189681334</v>
      </c>
      <c r="N129" s="19">
        <f t="shared" si="6"/>
        <v>5.8319039451114829E-2</v>
      </c>
      <c r="O129" s="19">
        <f>(O128/N128)-1</f>
        <v>5.9481361426256818E-3</v>
      </c>
      <c r="P129" s="19"/>
      <c r="Q129" s="19">
        <f>(Q128/P128)-1</f>
        <v>0</v>
      </c>
      <c r="R129" s="19">
        <f>(R128/Q128)-1</f>
        <v>4.8622366288493257E-3</v>
      </c>
      <c r="S129" s="19">
        <f>(S128/R128)-1</f>
        <v>1.0806451612903611E-3</v>
      </c>
    </row>
    <row r="130" spans="1:19" ht="16" x14ac:dyDescent="0.2">
      <c r="A130" s="3" t="s">
        <v>135</v>
      </c>
      <c r="B130" s="4" t="s">
        <v>24</v>
      </c>
      <c r="C130" s="4">
        <v>1118000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>
        <v>188733000</v>
      </c>
      <c r="L130" s="4">
        <v>193465000</v>
      </c>
      <c r="M130" s="4">
        <v>192169000</v>
      </c>
      <c r="N130" s="4">
        <v>272575000</v>
      </c>
      <c r="O130" s="5">
        <v>261744000</v>
      </c>
      <c r="P130" s="4">
        <v>280497000</v>
      </c>
      <c r="Q130" s="4">
        <v>272575000</v>
      </c>
      <c r="R130" s="4">
        <v>267377000</v>
      </c>
      <c r="S130" s="4">
        <v>261744000</v>
      </c>
    </row>
    <row r="131" spans="1:19" ht="16" x14ac:dyDescent="0.2">
      <c r="A131" s="3" t="s">
        <v>136</v>
      </c>
      <c r="B131" s="4">
        <v>-143682000</v>
      </c>
      <c r="C131" s="4">
        <v>-247336000</v>
      </c>
      <c r="D131" s="4">
        <v>-287713000</v>
      </c>
      <c r="E131" s="4">
        <v>-300298000</v>
      </c>
      <c r="F131" s="4">
        <v>-255843000</v>
      </c>
      <c r="G131" s="4">
        <v>-136942000</v>
      </c>
      <c r="H131" s="4">
        <v>-145187000</v>
      </c>
      <c r="I131" s="4">
        <v>-171452000</v>
      </c>
      <c r="J131" s="4">
        <v>-3367000</v>
      </c>
      <c r="K131" s="4">
        <v>96747000</v>
      </c>
      <c r="L131" s="4">
        <v>44198000</v>
      </c>
      <c r="M131" s="4">
        <v>558193000</v>
      </c>
      <c r="N131" s="4">
        <v>2130760000</v>
      </c>
      <c r="O131" s="5">
        <v>1861250000</v>
      </c>
      <c r="P131" s="4">
        <v>2472796000</v>
      </c>
      <c r="Q131" s="4">
        <v>2130760000</v>
      </c>
      <c r="R131" s="4">
        <v>2157571000</v>
      </c>
      <c r="S131" s="4">
        <v>1861250000</v>
      </c>
    </row>
    <row r="132" spans="1:19" ht="16" x14ac:dyDescent="0.2">
      <c r="A132" s="3" t="s">
        <v>137</v>
      </c>
      <c r="B132" s="6">
        <v>-38.200000000000003</v>
      </c>
      <c r="C132" s="6">
        <v>-50.29</v>
      </c>
      <c r="D132" s="6">
        <v>-46.6</v>
      </c>
      <c r="E132" s="6">
        <v>-48.07</v>
      </c>
      <c r="F132" s="6">
        <v>-40.92</v>
      </c>
      <c r="G132" s="6">
        <v>-32.479999999999997</v>
      </c>
      <c r="H132" s="6">
        <v>-36.36</v>
      </c>
      <c r="I132" s="6">
        <v>-46.55</v>
      </c>
      <c r="J132" s="6">
        <v>-2.2400000000000002</v>
      </c>
      <c r="K132" s="6">
        <v>73.349999999999994</v>
      </c>
      <c r="L132" s="6">
        <v>15.21</v>
      </c>
      <c r="M132" s="6">
        <v>3963.88</v>
      </c>
      <c r="N132" s="6">
        <v>260.51</v>
      </c>
      <c r="O132" s="7">
        <v>156.44999999999999</v>
      </c>
      <c r="P132" s="6">
        <v>392.01</v>
      </c>
      <c r="Q132" s="6">
        <v>260.51</v>
      </c>
      <c r="R132" s="6">
        <v>222.77</v>
      </c>
      <c r="S132" s="6">
        <v>156.44999999999999</v>
      </c>
    </row>
    <row r="133" spans="1:19" ht="16" x14ac:dyDescent="0.2">
      <c r="A133" s="3" t="s">
        <v>138</v>
      </c>
      <c r="B133" s="6">
        <v>65.599999999999994</v>
      </c>
      <c r="C133" s="6">
        <v>68.510000000000005</v>
      </c>
      <c r="D133" s="6">
        <v>72.430000000000007</v>
      </c>
      <c r="E133" s="6">
        <v>68.709999999999994</v>
      </c>
      <c r="F133" s="6">
        <v>49.91</v>
      </c>
      <c r="G133" s="6">
        <v>30.87</v>
      </c>
      <c r="H133" s="6">
        <v>29.7</v>
      </c>
      <c r="I133" s="6">
        <v>26.31</v>
      </c>
      <c r="J133" s="6">
        <v>24.43</v>
      </c>
      <c r="K133" s="6">
        <v>12.06</v>
      </c>
      <c r="L133" s="6">
        <v>23.28</v>
      </c>
      <c r="M133" s="6">
        <v>-1.08</v>
      </c>
      <c r="N133" s="6">
        <v>-85.42</v>
      </c>
      <c r="O133" s="7">
        <v>-62.88</v>
      </c>
      <c r="P133" s="6">
        <v>-93.09</v>
      </c>
      <c r="Q133" s="6">
        <v>-85.42</v>
      </c>
      <c r="R133" s="6">
        <v>-73.95</v>
      </c>
      <c r="S133" s="6">
        <v>-62.88</v>
      </c>
    </row>
    <row r="134" spans="1:19" ht="16" x14ac:dyDescent="0.2">
      <c r="A134" s="3" t="s">
        <v>139</v>
      </c>
      <c r="B134" s="6">
        <v>2.77</v>
      </c>
      <c r="C134" s="6">
        <v>3.38</v>
      </c>
      <c r="D134" s="6">
        <v>3.88</v>
      </c>
      <c r="E134" s="6">
        <v>3.42</v>
      </c>
      <c r="F134" s="6">
        <v>3.87</v>
      </c>
      <c r="G134" s="6">
        <v>2.67</v>
      </c>
      <c r="H134" s="6">
        <v>2.85</v>
      </c>
      <c r="I134" s="6">
        <v>2.71</v>
      </c>
      <c r="J134" s="6">
        <v>2.06</v>
      </c>
      <c r="K134" s="6">
        <v>1.65</v>
      </c>
      <c r="L134" s="6">
        <v>1.69</v>
      </c>
      <c r="M134" s="6">
        <v>1.72</v>
      </c>
      <c r="N134" s="6">
        <v>1.6</v>
      </c>
      <c r="O134" s="7">
        <v>1.65</v>
      </c>
      <c r="P134" s="6">
        <v>1.97</v>
      </c>
      <c r="Q134" s="6">
        <v>1.6</v>
      </c>
      <c r="R134" s="6">
        <v>1.76</v>
      </c>
      <c r="S134" s="6">
        <v>1.65</v>
      </c>
    </row>
    <row r="135" spans="1:19" ht="16" x14ac:dyDescent="0.2">
      <c r="A135" s="3" t="s">
        <v>140</v>
      </c>
      <c r="B135" s="6">
        <v>106.09</v>
      </c>
      <c r="C135" s="6">
        <v>86.27</v>
      </c>
      <c r="D135" s="6">
        <v>89.77</v>
      </c>
      <c r="E135" s="6">
        <v>95.85</v>
      </c>
      <c r="F135" s="6">
        <v>101.69</v>
      </c>
      <c r="G135" s="6">
        <v>104.08</v>
      </c>
      <c r="H135" s="6">
        <v>91.43</v>
      </c>
      <c r="I135" s="6">
        <v>81.010000000000005</v>
      </c>
      <c r="J135" s="6">
        <v>68.260000000000005</v>
      </c>
      <c r="K135" s="6">
        <v>70.97</v>
      </c>
      <c r="L135" s="6">
        <v>74.040000000000006</v>
      </c>
      <c r="M135" s="6">
        <v>51.78</v>
      </c>
      <c r="N135" s="6">
        <v>61.6</v>
      </c>
      <c r="O135" s="7">
        <v>84.1</v>
      </c>
      <c r="P135" s="6">
        <v>93.03</v>
      </c>
      <c r="Q135" s="6">
        <v>61.6</v>
      </c>
      <c r="R135" s="6">
        <v>86.36</v>
      </c>
      <c r="S135" s="6">
        <v>84.1</v>
      </c>
    </row>
    <row r="136" spans="1:19" ht="16" x14ac:dyDescent="0.2">
      <c r="A136" s="3" t="s">
        <v>141</v>
      </c>
      <c r="B136" s="4">
        <v>4000</v>
      </c>
      <c r="C136" s="4">
        <v>4157</v>
      </c>
      <c r="D136" s="4">
        <v>4900</v>
      </c>
      <c r="E136" s="4">
        <v>5000</v>
      </c>
      <c r="F136" s="4">
        <v>4900</v>
      </c>
      <c r="G136" s="4">
        <v>5400</v>
      </c>
      <c r="H136" s="4">
        <v>5068</v>
      </c>
      <c r="I136" s="4">
        <v>4382</v>
      </c>
      <c r="J136" s="4">
        <v>3901</v>
      </c>
      <c r="K136" s="4">
        <v>3803</v>
      </c>
      <c r="L136" s="4">
        <v>4600</v>
      </c>
      <c r="M136" s="4">
        <v>5770</v>
      </c>
      <c r="N136" s="4">
        <v>6680</v>
      </c>
      <c r="O136" s="5">
        <v>6680</v>
      </c>
      <c r="P136" s="4">
        <v>5770</v>
      </c>
      <c r="Q136" s="4">
        <v>6680</v>
      </c>
      <c r="R136" s="4">
        <v>6680</v>
      </c>
      <c r="S136" s="4">
        <v>6680</v>
      </c>
    </row>
    <row r="138" spans="1:19" ht="16" x14ac:dyDescent="0.2">
      <c r="A138" s="2" t="s">
        <v>24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</row>
    <row r="139" spans="1:19" ht="16" x14ac:dyDescent="0.2">
      <c r="A139" s="3" t="s">
        <v>142</v>
      </c>
      <c r="B139" s="4">
        <v>67726000</v>
      </c>
      <c r="C139" s="4">
        <v>112788000</v>
      </c>
      <c r="D139" s="4">
        <v>131343000</v>
      </c>
      <c r="E139" s="4">
        <v>10420000</v>
      </c>
      <c r="F139" s="4">
        <v>-4926000</v>
      </c>
      <c r="G139" s="4">
        <v>-83196000</v>
      </c>
      <c r="H139" s="4">
        <v>-16494000</v>
      </c>
      <c r="I139" s="4">
        <v>10238000</v>
      </c>
      <c r="J139" s="4">
        <v>50437000</v>
      </c>
      <c r="K139" s="4">
        <v>119497000</v>
      </c>
      <c r="L139" s="4">
        <v>312861000</v>
      </c>
      <c r="M139" s="4">
        <v>725694000</v>
      </c>
      <c r="N139" s="4">
        <v>540159000</v>
      </c>
      <c r="O139" s="5">
        <v>669039000</v>
      </c>
      <c r="P139" s="4">
        <v>169349000</v>
      </c>
      <c r="Q139" s="4">
        <v>137735000</v>
      </c>
      <c r="R139" s="4">
        <v>149543000</v>
      </c>
      <c r="S139" s="4">
        <v>212412000</v>
      </c>
    </row>
    <row r="140" spans="1:19" ht="16" x14ac:dyDescent="0.2">
      <c r="A140" s="3" t="s">
        <v>143</v>
      </c>
      <c r="B140" s="4">
        <v>37059000</v>
      </c>
      <c r="C140" s="4">
        <v>37263000</v>
      </c>
      <c r="D140" s="4">
        <v>36694000</v>
      </c>
      <c r="E140" s="4">
        <v>41506000</v>
      </c>
      <c r="F140" s="4">
        <v>37413000</v>
      </c>
      <c r="G140" s="4">
        <v>35993000</v>
      </c>
      <c r="H140" s="4">
        <v>34043000</v>
      </c>
      <c r="I140" s="4">
        <v>33130000</v>
      </c>
      <c r="J140" s="4">
        <v>29250000</v>
      </c>
      <c r="K140" s="4">
        <v>24213000</v>
      </c>
      <c r="L140" s="4">
        <v>27619000</v>
      </c>
      <c r="M140" s="4">
        <v>31976000</v>
      </c>
      <c r="N140" s="4">
        <v>39229000</v>
      </c>
      <c r="O140" s="5">
        <v>48255000</v>
      </c>
      <c r="P140" s="4">
        <v>9744000</v>
      </c>
      <c r="Q140" s="4">
        <v>12731000</v>
      </c>
      <c r="R140" s="4">
        <v>13136000</v>
      </c>
      <c r="S140" s="4">
        <v>12644000</v>
      </c>
    </row>
    <row r="141" spans="1:19" ht="16" x14ac:dyDescent="0.2">
      <c r="A141" s="3" t="s">
        <v>144</v>
      </c>
      <c r="B141" s="4">
        <v>7767000</v>
      </c>
      <c r="C141" s="4">
        <v>-2171000</v>
      </c>
      <c r="D141" s="4">
        <v>27569000</v>
      </c>
      <c r="E141" s="4">
        <v>46478000</v>
      </c>
      <c r="F141" s="4">
        <v>37583000</v>
      </c>
      <c r="G141" s="4">
        <v>59151000</v>
      </c>
      <c r="H141" s="4">
        <v>8198000</v>
      </c>
      <c r="I141" s="4">
        <v>9994000</v>
      </c>
      <c r="J141" s="4">
        <v>22515000</v>
      </c>
      <c r="K141" s="4">
        <v>57545000</v>
      </c>
      <c r="L141" s="4">
        <v>-205966000</v>
      </c>
      <c r="M141" s="4">
        <v>-145979000</v>
      </c>
      <c r="N141" s="4">
        <v>115436000</v>
      </c>
      <c r="O141" s="5">
        <v>113110000</v>
      </c>
      <c r="P141" s="4">
        <v>30437000</v>
      </c>
      <c r="Q141" s="4">
        <v>29460000</v>
      </c>
      <c r="R141" s="4">
        <v>26046000</v>
      </c>
      <c r="S141" s="4">
        <v>27167000</v>
      </c>
    </row>
    <row r="142" spans="1:19" ht="16" x14ac:dyDescent="0.2">
      <c r="A142" s="28" t="s">
        <v>145</v>
      </c>
      <c r="B142" s="26">
        <v>7109000</v>
      </c>
      <c r="C142" s="26">
        <v>8550000</v>
      </c>
      <c r="D142" s="26">
        <v>11321000</v>
      </c>
      <c r="E142" s="26">
        <v>11871000</v>
      </c>
      <c r="F142" s="26">
        <v>12503000</v>
      </c>
      <c r="G142" s="26">
        <v>11236000</v>
      </c>
      <c r="H142" s="26">
        <v>10736000</v>
      </c>
      <c r="I142" s="26">
        <v>9773000</v>
      </c>
      <c r="J142" s="26">
        <v>13105000</v>
      </c>
      <c r="K142" s="26">
        <v>14412000</v>
      </c>
      <c r="L142" s="26">
        <v>16361000</v>
      </c>
      <c r="M142" s="26">
        <v>38122000</v>
      </c>
      <c r="N142" s="26">
        <v>31303000</v>
      </c>
      <c r="O142" s="27">
        <v>29580000</v>
      </c>
      <c r="P142" s="26">
        <v>7888000</v>
      </c>
      <c r="Q142" s="26">
        <v>5840000</v>
      </c>
      <c r="R142" s="26">
        <v>7464000</v>
      </c>
      <c r="S142" s="26">
        <v>8388000</v>
      </c>
    </row>
    <row r="143" spans="1:19" ht="16" x14ac:dyDescent="0.2">
      <c r="A143" s="12" t="s">
        <v>198</v>
      </c>
      <c r="B143" s="19">
        <f t="shared" ref="B143:S143" si="7">B142/B2</f>
        <v>9.0022097138768766E-3</v>
      </c>
      <c r="C143" s="19">
        <f t="shared" si="7"/>
        <v>8.5422863154571427E-3</v>
      </c>
      <c r="D143" s="19">
        <f t="shared" si="7"/>
        <v>1.0078331631503934E-2</v>
      </c>
      <c r="E143" s="19">
        <f t="shared" si="7"/>
        <v>9.9532146091156053E-3</v>
      </c>
      <c r="F143" s="19">
        <f t="shared" si="7"/>
        <v>1.0434618597706771E-2</v>
      </c>
      <c r="G143" s="19">
        <f t="shared" si="7"/>
        <v>1.0302302339015065E-2</v>
      </c>
      <c r="H143" s="19">
        <f t="shared" si="7"/>
        <v>1.0360204309096155E-2</v>
      </c>
      <c r="I143" s="19">
        <f t="shared" si="7"/>
        <v>9.5484864383745E-3</v>
      </c>
      <c r="J143" s="19">
        <f t="shared" si="7"/>
        <v>1.2042767677046144E-2</v>
      </c>
      <c r="K143" s="19">
        <f t="shared" si="7"/>
        <v>1.1711426929943531E-2</v>
      </c>
      <c r="L143" s="19">
        <f t="shared" si="7"/>
        <v>1.1804890649092212E-2</v>
      </c>
      <c r="M143" s="19">
        <f t="shared" si="7"/>
        <v>1.6478661857616615E-2</v>
      </c>
      <c r="N143" s="19">
        <f t="shared" si="7"/>
        <v>8.8053817386008655E-3</v>
      </c>
      <c r="O143" s="19">
        <f t="shared" si="7"/>
        <v>7.6103951102053646E-3</v>
      </c>
      <c r="P143" s="19">
        <f t="shared" si="7"/>
        <v>8.0073576734809061E-3</v>
      </c>
      <c r="Q143" s="19">
        <f t="shared" si="7"/>
        <v>6.1788349510454293E-3</v>
      </c>
      <c r="R143" s="19">
        <f t="shared" si="7"/>
        <v>8.4418536790602672E-3</v>
      </c>
      <c r="S143" s="19">
        <f t="shared" si="7"/>
        <v>7.8219490155888791E-3</v>
      </c>
    </row>
    <row r="144" spans="1:19" ht="16" x14ac:dyDescent="0.2">
      <c r="A144" s="3" t="s">
        <v>146</v>
      </c>
      <c r="B144" s="4">
        <v>-4999000</v>
      </c>
      <c r="C144" s="4">
        <v>-819000</v>
      </c>
      <c r="D144" s="4">
        <v>-2981000</v>
      </c>
      <c r="E144" s="4">
        <v>23536000</v>
      </c>
      <c r="F144" s="4">
        <v>829000</v>
      </c>
      <c r="G144" s="4">
        <v>289000</v>
      </c>
      <c r="H144" s="4">
        <v>-388000</v>
      </c>
      <c r="I144" s="4">
        <v>-3093000</v>
      </c>
      <c r="J144" s="4">
        <v>959000</v>
      </c>
      <c r="K144" s="4">
        <v>-16259000</v>
      </c>
      <c r="L144" s="4">
        <v>-325061000</v>
      </c>
      <c r="M144" s="4">
        <v>-241283000</v>
      </c>
      <c r="N144" s="4">
        <v>-4760000</v>
      </c>
      <c r="O144" s="5">
        <v>-4760000</v>
      </c>
      <c r="P144" s="4" t="s">
        <v>24</v>
      </c>
      <c r="Q144" s="4">
        <v>-4760000</v>
      </c>
      <c r="R144" s="4" t="s">
        <v>24</v>
      </c>
      <c r="S144" s="4" t="s">
        <v>24</v>
      </c>
    </row>
    <row r="145" spans="1:19" ht="16" x14ac:dyDescent="0.2">
      <c r="A145" s="3" t="s">
        <v>147</v>
      </c>
      <c r="B145" s="4">
        <v>141000</v>
      </c>
      <c r="C145" s="4">
        <v>528000</v>
      </c>
      <c r="D145" s="4">
        <v>1410000</v>
      </c>
      <c r="E145" s="4">
        <v>14368000</v>
      </c>
      <c r="F145" s="4">
        <v>16317000</v>
      </c>
      <c r="G145" s="4">
        <v>18414000</v>
      </c>
      <c r="H145" s="4">
        <v>3144000</v>
      </c>
      <c r="I145" s="4">
        <v>5284000</v>
      </c>
      <c r="J145" s="4">
        <v>2182000</v>
      </c>
      <c r="K145" s="4" t="s">
        <v>24</v>
      </c>
      <c r="L145" s="4">
        <v>21071000</v>
      </c>
      <c r="M145" s="4" t="s">
        <v>24</v>
      </c>
      <c r="N145" s="4" t="s">
        <v>24</v>
      </c>
      <c r="O145" s="5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</row>
    <row r="146" spans="1:19" ht="16" x14ac:dyDescent="0.2">
      <c r="A146" s="3" t="s">
        <v>148</v>
      </c>
      <c r="B146" s="4">
        <v>5516000</v>
      </c>
      <c r="C146" s="4">
        <v>-10430000</v>
      </c>
      <c r="D146" s="4">
        <v>17819000</v>
      </c>
      <c r="E146" s="4">
        <v>-3297000</v>
      </c>
      <c r="F146" s="4">
        <v>7934000</v>
      </c>
      <c r="G146" s="4">
        <v>29212000</v>
      </c>
      <c r="H146" s="4">
        <v>-5294000</v>
      </c>
      <c r="I146" s="4">
        <v>-1970000</v>
      </c>
      <c r="J146" s="4">
        <v>6269000</v>
      </c>
      <c r="K146" s="4">
        <v>59392000</v>
      </c>
      <c r="L146" s="4">
        <v>81663000</v>
      </c>
      <c r="M146" s="4">
        <v>57182000</v>
      </c>
      <c r="N146" s="4">
        <v>88893000</v>
      </c>
      <c r="O146" s="5">
        <v>88290000</v>
      </c>
      <c r="P146" s="4">
        <v>22549000</v>
      </c>
      <c r="Q146" s="4">
        <v>28380000</v>
      </c>
      <c r="R146" s="4">
        <v>18582000</v>
      </c>
      <c r="S146" s="4">
        <v>18779000</v>
      </c>
    </row>
    <row r="147" spans="1:19" ht="16" x14ac:dyDescent="0.2">
      <c r="A147" s="3" t="s">
        <v>149</v>
      </c>
      <c r="B147" s="4">
        <v>-8278000</v>
      </c>
      <c r="C147" s="4">
        <v>-5504000</v>
      </c>
      <c r="D147" s="4">
        <v>-67475000</v>
      </c>
      <c r="E147" s="4">
        <v>-14940000</v>
      </c>
      <c r="F147" s="4">
        <v>-81721000</v>
      </c>
      <c r="G147" s="4">
        <v>-2250000</v>
      </c>
      <c r="H147" s="4">
        <v>14007000</v>
      </c>
      <c r="I147" s="4">
        <v>44902000</v>
      </c>
      <c r="J147" s="4">
        <v>11960000</v>
      </c>
      <c r="K147" s="4">
        <v>-111297000</v>
      </c>
      <c r="L147" s="4">
        <v>132388000</v>
      </c>
      <c r="M147" s="4">
        <v>-44526000</v>
      </c>
      <c r="N147" s="4">
        <v>-91682000</v>
      </c>
      <c r="O147" s="5">
        <v>18607000</v>
      </c>
      <c r="P147" s="4">
        <v>-47589000</v>
      </c>
      <c r="Q147" s="4">
        <v>176531000</v>
      </c>
      <c r="R147" s="4">
        <v>-178794000</v>
      </c>
      <c r="S147" s="4">
        <v>68459000</v>
      </c>
    </row>
    <row r="148" spans="1:19" ht="16" x14ac:dyDescent="0.2">
      <c r="A148" s="3" t="s">
        <v>150</v>
      </c>
      <c r="B148" s="4">
        <v>-12937000</v>
      </c>
      <c r="C148" s="4">
        <v>-24375000</v>
      </c>
      <c r="D148" s="4">
        <v>-9475000</v>
      </c>
      <c r="E148" s="4">
        <v>-17166000</v>
      </c>
      <c r="F148" s="4">
        <v>-15288000</v>
      </c>
      <c r="G148" s="4">
        <v>-15604000</v>
      </c>
      <c r="H148" s="4">
        <v>2408000</v>
      </c>
      <c r="I148" s="4">
        <v>620000</v>
      </c>
      <c r="J148" s="4">
        <v>-24623000</v>
      </c>
      <c r="K148" s="4">
        <v>-15015000</v>
      </c>
      <c r="L148" s="4">
        <v>-47045000</v>
      </c>
      <c r="M148" s="4">
        <v>-35063000</v>
      </c>
      <c r="N148" s="4">
        <v>-56766000</v>
      </c>
      <c r="O148" s="5">
        <v>10550000</v>
      </c>
      <c r="P148" s="4">
        <v>14290000</v>
      </c>
      <c r="Q148" s="4">
        <v>110098000</v>
      </c>
      <c r="R148" s="4">
        <v>-122144000</v>
      </c>
      <c r="S148" s="4">
        <v>8306000</v>
      </c>
    </row>
    <row r="149" spans="1:19" ht="16" x14ac:dyDescent="0.2">
      <c r="A149" s="3" t="s">
        <v>151</v>
      </c>
      <c r="B149" s="4">
        <v>-27908000</v>
      </c>
      <c r="C149" s="4">
        <v>-13328000</v>
      </c>
      <c r="D149" s="4">
        <v>-35493000</v>
      </c>
      <c r="E149" s="4">
        <v>-5274000</v>
      </c>
      <c r="F149" s="4">
        <v>-31251000</v>
      </c>
      <c r="G149" s="4">
        <v>-8586000</v>
      </c>
      <c r="H149" s="4">
        <v>20371000</v>
      </c>
      <c r="I149" s="4">
        <v>23319000</v>
      </c>
      <c r="J149" s="4">
        <v>-1987000</v>
      </c>
      <c r="K149" s="4">
        <v>-48156000</v>
      </c>
      <c r="L149" s="4">
        <v>-13462000</v>
      </c>
      <c r="M149" s="4">
        <v>-43063000</v>
      </c>
      <c r="N149" s="4">
        <v>-91614000</v>
      </c>
      <c r="O149" s="5">
        <v>64722000</v>
      </c>
      <c r="P149" s="4">
        <v>-18230000</v>
      </c>
      <c r="Q149" s="4">
        <v>48068000</v>
      </c>
      <c r="R149" s="4">
        <v>-5220000</v>
      </c>
      <c r="S149" s="4">
        <v>40104000</v>
      </c>
    </row>
    <row r="150" spans="1:19" ht="16" x14ac:dyDescent="0.2">
      <c r="A150" s="3" t="s">
        <v>152</v>
      </c>
      <c r="B150" s="4">
        <v>2230000</v>
      </c>
      <c r="C150" s="4">
        <v>-17598000</v>
      </c>
      <c r="D150" s="4">
        <v>-25715000</v>
      </c>
      <c r="E150" s="4">
        <v>-4225000</v>
      </c>
      <c r="F150" s="4">
        <v>21698000</v>
      </c>
      <c r="G150" s="4">
        <v>1755000</v>
      </c>
      <c r="H150" s="4">
        <v>-4532000</v>
      </c>
      <c r="I150" s="4">
        <v>18907000</v>
      </c>
      <c r="J150" s="4">
        <v>9703000</v>
      </c>
      <c r="K150" s="4">
        <v>-4012000</v>
      </c>
      <c r="L150" s="4">
        <v>5007000</v>
      </c>
      <c r="M150" s="4">
        <v>-6212000</v>
      </c>
      <c r="N150" s="4">
        <v>-14435000</v>
      </c>
      <c r="O150" s="5">
        <v>-37539000</v>
      </c>
      <c r="P150" s="4">
        <v>-11217000</v>
      </c>
      <c r="Q150" s="4">
        <v>6091000</v>
      </c>
      <c r="R150" s="4">
        <v>-35859000</v>
      </c>
      <c r="S150" s="4">
        <v>3446000</v>
      </c>
    </row>
    <row r="151" spans="1:19" ht="16" x14ac:dyDescent="0.2">
      <c r="A151" s="3" t="s">
        <v>153</v>
      </c>
      <c r="B151" s="4">
        <v>30337000</v>
      </c>
      <c r="C151" s="4">
        <v>49797000</v>
      </c>
      <c r="D151" s="4">
        <v>3208000</v>
      </c>
      <c r="E151" s="4">
        <v>8516000</v>
      </c>
      <c r="F151" s="4">
        <v>-23071000</v>
      </c>
      <c r="G151" s="4">
        <v>28348000</v>
      </c>
      <c r="H151" s="4">
        <v>1530000</v>
      </c>
      <c r="I151" s="4">
        <v>2056000</v>
      </c>
      <c r="J151" s="4">
        <v>28867000</v>
      </c>
      <c r="K151" s="4">
        <v>20199000</v>
      </c>
      <c r="L151" s="4">
        <v>249066000</v>
      </c>
      <c r="M151" s="4">
        <v>92564000</v>
      </c>
      <c r="N151" s="4">
        <v>134488000</v>
      </c>
      <c r="O151" s="5">
        <v>31447000</v>
      </c>
      <c r="P151" s="4">
        <v>-33483000</v>
      </c>
      <c r="Q151" s="4">
        <v>28722000</v>
      </c>
      <c r="R151" s="4">
        <v>1850000</v>
      </c>
      <c r="S151" s="4">
        <v>34358000</v>
      </c>
    </row>
    <row r="152" spans="1:19" ht="16" x14ac:dyDescent="0.2">
      <c r="A152" s="3" t="s">
        <v>154</v>
      </c>
      <c r="B152" s="4" t="s">
        <v>24</v>
      </c>
      <c r="C152" s="4" t="s">
        <v>24</v>
      </c>
      <c r="D152" s="4" t="s">
        <v>24</v>
      </c>
      <c r="E152" s="4">
        <v>3209000</v>
      </c>
      <c r="F152" s="4">
        <v>-33809000</v>
      </c>
      <c r="G152" s="4">
        <v>-8163000</v>
      </c>
      <c r="H152" s="4">
        <v>-5770000</v>
      </c>
      <c r="I152" s="4" t="s">
        <v>24</v>
      </c>
      <c r="J152" s="4" t="s">
        <v>24</v>
      </c>
      <c r="K152" s="4">
        <v>-64313000</v>
      </c>
      <c r="L152" s="4">
        <v>-61178000</v>
      </c>
      <c r="M152" s="4">
        <v>-52752000</v>
      </c>
      <c r="N152" s="4">
        <v>-63355000</v>
      </c>
      <c r="O152" s="5">
        <v>-50573000</v>
      </c>
      <c r="P152" s="4">
        <v>1051000</v>
      </c>
      <c r="Q152" s="4">
        <v>-16448000</v>
      </c>
      <c r="R152" s="4">
        <v>-17421000</v>
      </c>
      <c r="S152" s="4">
        <v>-17755000</v>
      </c>
    </row>
    <row r="153" spans="1:19" ht="16" x14ac:dyDescent="0.2">
      <c r="A153" s="3" t="s">
        <v>155</v>
      </c>
      <c r="B153" s="4" t="s">
        <v>24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5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</row>
    <row r="154" spans="1:19" ht="16" x14ac:dyDescent="0.2">
      <c r="A154" s="3" t="s">
        <v>156</v>
      </c>
      <c r="B154" s="4">
        <v>104274000</v>
      </c>
      <c r="C154" s="4">
        <v>142376000</v>
      </c>
      <c r="D154" s="4">
        <v>128131000</v>
      </c>
      <c r="E154" s="4">
        <v>83464000</v>
      </c>
      <c r="F154" s="4">
        <v>-11651000</v>
      </c>
      <c r="G154" s="4">
        <v>9698000</v>
      </c>
      <c r="H154" s="4">
        <v>39754000</v>
      </c>
      <c r="I154" s="4">
        <v>98264000</v>
      </c>
      <c r="J154" s="4">
        <v>114162000</v>
      </c>
      <c r="K154" s="4">
        <v>89958000</v>
      </c>
      <c r="L154" s="4">
        <v>266902000</v>
      </c>
      <c r="M154" s="4">
        <v>567165000</v>
      </c>
      <c r="N154" s="4">
        <v>603142000</v>
      </c>
      <c r="O154" s="5">
        <v>849011000</v>
      </c>
      <c r="P154" s="4">
        <v>161941000</v>
      </c>
      <c r="Q154" s="4">
        <v>356457000</v>
      </c>
      <c r="R154" s="4">
        <v>9931000</v>
      </c>
      <c r="S154" s="4">
        <v>320682000</v>
      </c>
    </row>
    <row r="155" spans="1:19" ht="16" x14ac:dyDescent="0.2">
      <c r="A155" s="3" t="s">
        <v>157</v>
      </c>
      <c r="B155" s="4" t="s">
        <v>24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ht="16" x14ac:dyDescent="0.2">
      <c r="A156" s="3" t="s">
        <v>158</v>
      </c>
      <c r="B156" s="4">
        <v>1274000</v>
      </c>
      <c r="C156" s="4">
        <v>319000</v>
      </c>
      <c r="D156" s="4">
        <v>2216000</v>
      </c>
      <c r="E156" s="4">
        <v>250000</v>
      </c>
      <c r="F156" s="4">
        <v>236000</v>
      </c>
      <c r="G156" s="4" t="s">
        <v>24</v>
      </c>
      <c r="H156" s="4">
        <v>2438000</v>
      </c>
      <c r="I156" s="4">
        <v>1579000</v>
      </c>
      <c r="J156" s="4">
        <v>1856000</v>
      </c>
      <c r="K156" s="4">
        <v>616000</v>
      </c>
      <c r="L156" s="4">
        <v>463000</v>
      </c>
      <c r="M156" s="4">
        <v>6000</v>
      </c>
      <c r="N156" s="4" t="s">
        <v>24</v>
      </c>
      <c r="O156" s="5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</row>
    <row r="157" spans="1:19" ht="16" x14ac:dyDescent="0.2">
      <c r="A157" s="3" t="s">
        <v>159</v>
      </c>
      <c r="B157" s="4">
        <v>1274000</v>
      </c>
      <c r="C157" s="4">
        <v>319000</v>
      </c>
      <c r="D157" s="4">
        <v>2216000</v>
      </c>
      <c r="E157" s="4">
        <v>250000</v>
      </c>
      <c r="F157" s="4">
        <v>236000</v>
      </c>
      <c r="G157" s="4" t="s">
        <v>24</v>
      </c>
      <c r="H157" s="4">
        <v>2438000</v>
      </c>
      <c r="I157" s="4">
        <v>1579000</v>
      </c>
      <c r="J157" s="4">
        <v>1856000</v>
      </c>
      <c r="K157" s="4">
        <v>616000</v>
      </c>
      <c r="L157" s="4">
        <v>463000</v>
      </c>
      <c r="M157" s="4">
        <v>6000</v>
      </c>
      <c r="N157" s="4" t="s">
        <v>24</v>
      </c>
      <c r="O157" s="5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</row>
    <row r="158" spans="1:19" ht="16" x14ac:dyDescent="0.2">
      <c r="A158" s="3" t="s">
        <v>160</v>
      </c>
      <c r="B158" s="4" t="s">
        <v>24</v>
      </c>
      <c r="C158" s="4" t="s">
        <v>24</v>
      </c>
      <c r="D158" s="4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5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</row>
    <row r="159" spans="1:19" ht="16" x14ac:dyDescent="0.2">
      <c r="A159" s="3" t="s">
        <v>161</v>
      </c>
      <c r="B159" s="4">
        <v>-45105000</v>
      </c>
      <c r="C159" s="4">
        <v>-41640000</v>
      </c>
      <c r="D159" s="4">
        <v>-60836000</v>
      </c>
      <c r="E159" s="4">
        <v>-68828000</v>
      </c>
      <c r="F159" s="4">
        <v>-57026000</v>
      </c>
      <c r="G159" s="4">
        <v>-18488000</v>
      </c>
      <c r="H159" s="4">
        <v>-22194000</v>
      </c>
      <c r="I159" s="4">
        <v>-13117000</v>
      </c>
      <c r="J159" s="4">
        <v>-11979000</v>
      </c>
      <c r="K159" s="4">
        <v>-36576000</v>
      </c>
      <c r="L159" s="4">
        <v>-42033000</v>
      </c>
      <c r="M159" s="4">
        <v>-55916000</v>
      </c>
      <c r="N159" s="4">
        <v>-104190000</v>
      </c>
      <c r="O159" s="5">
        <v>-99091000</v>
      </c>
      <c r="P159" s="4">
        <v>-32844000</v>
      </c>
      <c r="Q159" s="4">
        <v>-14602000</v>
      </c>
      <c r="R159" s="4">
        <v>-27581000</v>
      </c>
      <c r="S159" s="4">
        <v>-24064000</v>
      </c>
    </row>
    <row r="160" spans="1:19" ht="16" x14ac:dyDescent="0.2">
      <c r="A160" s="3" t="s">
        <v>162</v>
      </c>
      <c r="B160" s="4">
        <v>-31257000</v>
      </c>
      <c r="C160" s="4">
        <v>-27718000</v>
      </c>
      <c r="D160" s="4">
        <v>-39762000</v>
      </c>
      <c r="E160" s="4">
        <v>-40424000</v>
      </c>
      <c r="F160" s="4">
        <v>-15991000</v>
      </c>
      <c r="G160" s="4">
        <v>-12828000</v>
      </c>
      <c r="H160" s="4">
        <v>-13233000</v>
      </c>
      <c r="I160" s="4">
        <v>-13117000</v>
      </c>
      <c r="J160" s="4">
        <v>-11979000</v>
      </c>
      <c r="K160" s="4">
        <v>-36576000</v>
      </c>
      <c r="L160" s="4">
        <v>-42033000</v>
      </c>
      <c r="M160" s="4">
        <v>-55916000</v>
      </c>
      <c r="N160" s="4">
        <v>-104190000</v>
      </c>
      <c r="O160" s="5">
        <v>-99091000</v>
      </c>
      <c r="P160" s="4">
        <v>-32844000</v>
      </c>
      <c r="Q160" s="4">
        <v>-14602000</v>
      </c>
      <c r="R160" s="4">
        <v>-27581000</v>
      </c>
      <c r="S160" s="4">
        <v>-24064000</v>
      </c>
    </row>
    <row r="161" spans="1:19" ht="16" x14ac:dyDescent="0.2">
      <c r="A161" s="3" t="s">
        <v>163</v>
      </c>
      <c r="B161" s="4">
        <v>-13848000</v>
      </c>
      <c r="C161" s="4">
        <v>-13922000</v>
      </c>
      <c r="D161" s="4">
        <v>-21074000</v>
      </c>
      <c r="E161" s="4">
        <v>-28404000</v>
      </c>
      <c r="F161" s="4">
        <v>-41035000</v>
      </c>
      <c r="G161" s="4">
        <v>-5660000</v>
      </c>
      <c r="H161" s="4">
        <v>-8961000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5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</row>
    <row r="162" spans="1:19" ht="16" x14ac:dyDescent="0.2">
      <c r="A162" s="3" t="s">
        <v>164</v>
      </c>
      <c r="B162" s="4">
        <v>1715000</v>
      </c>
      <c r="C162" s="4" t="s">
        <v>24</v>
      </c>
      <c r="D162" s="4" t="s">
        <v>24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 t="s">
        <v>24</v>
      </c>
      <c r="O162" s="5" t="s">
        <v>24</v>
      </c>
      <c r="P162" s="4" t="s">
        <v>24</v>
      </c>
      <c r="Q162" s="4" t="s">
        <v>24</v>
      </c>
      <c r="R162" s="4" t="s">
        <v>24</v>
      </c>
      <c r="S162" s="4" t="s">
        <v>24</v>
      </c>
    </row>
    <row r="163" spans="1:19" ht="16" x14ac:dyDescent="0.2">
      <c r="A163" s="3" t="s">
        <v>165</v>
      </c>
      <c r="B163" s="4">
        <v>7369000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5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</row>
    <row r="164" spans="1:19" ht="16" x14ac:dyDescent="0.2">
      <c r="A164" s="3" t="s">
        <v>166</v>
      </c>
      <c r="B164" s="4">
        <v>-5654000</v>
      </c>
      <c r="C164" s="4" t="s">
        <v>24</v>
      </c>
      <c r="D164" s="4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5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</row>
    <row r="165" spans="1:19" ht="16" x14ac:dyDescent="0.2">
      <c r="A165" s="3" t="s">
        <v>167</v>
      </c>
      <c r="B165" s="4" t="s">
        <v>24</v>
      </c>
      <c r="C165" s="4" t="s">
        <v>24</v>
      </c>
      <c r="D165" s="4">
        <v>-5169000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>
        <v>-2046881000</v>
      </c>
      <c r="O165" s="5">
        <v>-6616000</v>
      </c>
      <c r="P165" s="4">
        <v>-6616000</v>
      </c>
      <c r="Q165" s="4" t="s">
        <v>24</v>
      </c>
      <c r="R165" s="4" t="s">
        <v>24</v>
      </c>
      <c r="S165" s="4" t="s">
        <v>24</v>
      </c>
    </row>
    <row r="166" spans="1:19" ht="16" x14ac:dyDescent="0.2">
      <c r="A166" s="3" t="s">
        <v>168</v>
      </c>
      <c r="B166" s="4" t="s">
        <v>24</v>
      </c>
      <c r="C166" s="4" t="s">
        <v>24</v>
      </c>
      <c r="D166" s="4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24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ht="16" x14ac:dyDescent="0.2">
      <c r="A167" s="3" t="s">
        <v>169</v>
      </c>
      <c r="B167" s="4" t="s">
        <v>24</v>
      </c>
      <c r="C167" s="4" t="s">
        <v>24</v>
      </c>
      <c r="D167" s="4">
        <v>-5169000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>
        <v>-2046881000</v>
      </c>
      <c r="O167" s="5">
        <v>-6616000</v>
      </c>
      <c r="P167" s="4">
        <v>-6616000</v>
      </c>
      <c r="Q167" s="4" t="s">
        <v>24</v>
      </c>
      <c r="R167" s="4" t="s">
        <v>24</v>
      </c>
      <c r="S167" s="4" t="s">
        <v>24</v>
      </c>
    </row>
    <row r="168" spans="1:19" ht="16" x14ac:dyDescent="0.2">
      <c r="A168" s="3" t="s">
        <v>170</v>
      </c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5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</row>
    <row r="169" spans="1:19" ht="16" x14ac:dyDescent="0.2">
      <c r="A169" s="3" t="s">
        <v>171</v>
      </c>
      <c r="B169" s="4">
        <v>38000</v>
      </c>
      <c r="C169" s="4">
        <v>-343000</v>
      </c>
      <c r="D169" s="4">
        <v>-2154000</v>
      </c>
      <c r="E169" s="4">
        <v>-1180000</v>
      </c>
      <c r="F169" s="4">
        <v>-1202000</v>
      </c>
      <c r="G169" s="4">
        <v>-139000</v>
      </c>
      <c r="H169" s="4">
        <v>1099000</v>
      </c>
      <c r="I169" s="4">
        <v>566000</v>
      </c>
      <c r="J169" s="4">
        <v>13000</v>
      </c>
      <c r="K169" s="4">
        <v>-276000</v>
      </c>
      <c r="L169" s="4">
        <v>-192000</v>
      </c>
      <c r="M169" s="4">
        <v>-15000</v>
      </c>
      <c r="N169" s="4">
        <v>-20000</v>
      </c>
      <c r="O169" s="5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</row>
    <row r="170" spans="1:19" ht="16" x14ac:dyDescent="0.2">
      <c r="A170" s="3" t="s">
        <v>155</v>
      </c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5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</row>
    <row r="171" spans="1:19" ht="16" x14ac:dyDescent="0.2">
      <c r="A171" s="3" t="s">
        <v>172</v>
      </c>
      <c r="B171" s="4">
        <v>-42078000</v>
      </c>
      <c r="C171" s="4">
        <v>-41664000</v>
      </c>
      <c r="D171" s="4">
        <v>-65943000</v>
      </c>
      <c r="E171" s="4">
        <v>-69758000</v>
      </c>
      <c r="F171" s="4">
        <v>-57992000</v>
      </c>
      <c r="G171" s="4">
        <v>-18627000</v>
      </c>
      <c r="H171" s="4">
        <v>-18657000</v>
      </c>
      <c r="I171" s="4">
        <v>-10972000</v>
      </c>
      <c r="J171" s="4">
        <v>-10110000</v>
      </c>
      <c r="K171" s="4">
        <v>-36236000</v>
      </c>
      <c r="L171" s="4">
        <v>-41762000</v>
      </c>
      <c r="M171" s="4">
        <v>-55925000</v>
      </c>
      <c r="N171" s="4">
        <v>-2151091000</v>
      </c>
      <c r="O171" s="5">
        <v>-105707000</v>
      </c>
      <c r="P171" s="4">
        <v>-39460000</v>
      </c>
      <c r="Q171" s="4">
        <v>-14602000</v>
      </c>
      <c r="R171" s="4">
        <v>-27581000</v>
      </c>
      <c r="S171" s="4">
        <v>-24064000</v>
      </c>
    </row>
    <row r="172" spans="1:19" ht="16" x14ac:dyDescent="0.2">
      <c r="A172" s="3" t="s">
        <v>173</v>
      </c>
      <c r="B172" s="4" t="s">
        <v>24</v>
      </c>
      <c r="C172" s="4" t="s">
        <v>24</v>
      </c>
      <c r="D172" s="4" t="s">
        <v>24</v>
      </c>
      <c r="E172" s="4" t="s">
        <v>24</v>
      </c>
      <c r="F172" s="4">
        <v>-8234000</v>
      </c>
      <c r="G172" s="4">
        <v>-11900000</v>
      </c>
      <c r="H172" s="4">
        <v>-12000000</v>
      </c>
      <c r="I172" s="4">
        <v>-12000000</v>
      </c>
      <c r="J172" s="4">
        <v>-21015000</v>
      </c>
      <c r="K172" s="4">
        <v>-2985000</v>
      </c>
      <c r="L172" s="4">
        <v>0</v>
      </c>
      <c r="M172" s="4">
        <v>0</v>
      </c>
      <c r="N172" s="4">
        <v>0</v>
      </c>
      <c r="O172" s="5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ht="16" x14ac:dyDescent="0.2">
      <c r="A173" s="3" t="s">
        <v>174</v>
      </c>
      <c r="B173" s="4">
        <v>-1525000</v>
      </c>
      <c r="C173" s="4">
        <v>-1109000</v>
      </c>
      <c r="D173" s="4">
        <v>5985000</v>
      </c>
      <c r="E173" s="4">
        <v>10215000</v>
      </c>
      <c r="F173" s="4">
        <v>-5177000</v>
      </c>
      <c r="G173" s="4">
        <v>-5290000</v>
      </c>
      <c r="H173" s="4">
        <v>-4058000</v>
      </c>
      <c r="I173" s="4">
        <v>-3111000</v>
      </c>
      <c r="J173" s="4">
        <v>119338000</v>
      </c>
      <c r="K173" s="4">
        <v>85000000</v>
      </c>
      <c r="L173" s="4">
        <v>-25000000</v>
      </c>
      <c r="M173" s="4">
        <v>605000000</v>
      </c>
      <c r="N173" s="4">
        <v>1594613000</v>
      </c>
      <c r="O173" s="5">
        <v>-750133000</v>
      </c>
      <c r="P173" s="4">
        <v>-155285000</v>
      </c>
      <c r="Q173" s="4">
        <v>-295779000</v>
      </c>
      <c r="R173" s="4">
        <v>-41366000</v>
      </c>
      <c r="S173" s="4">
        <v>-257703000</v>
      </c>
    </row>
    <row r="174" spans="1:19" ht="16" x14ac:dyDescent="0.2">
      <c r="A174" s="3" t="s">
        <v>175</v>
      </c>
      <c r="B174" s="4">
        <v>83100000</v>
      </c>
      <c r="C174" s="4">
        <v>316595000</v>
      </c>
      <c r="D174" s="4">
        <v>96086000</v>
      </c>
      <c r="E174" s="4">
        <v>23375000</v>
      </c>
      <c r="F174" s="4" t="s">
        <v>24</v>
      </c>
      <c r="G174" s="4" t="s">
        <v>24</v>
      </c>
      <c r="H174" s="4">
        <v>31582000</v>
      </c>
      <c r="I174" s="4">
        <v>5500000</v>
      </c>
      <c r="J174" s="4">
        <v>120000000</v>
      </c>
      <c r="K174" s="4">
        <v>315000000</v>
      </c>
      <c r="L174" s="4">
        <v>210000000</v>
      </c>
      <c r="M174" s="4">
        <v>1090000000</v>
      </c>
      <c r="N174" s="4">
        <v>2169898000</v>
      </c>
      <c r="O174" s="5">
        <v>143855000</v>
      </c>
      <c r="P174" s="4" t="s">
        <v>24</v>
      </c>
      <c r="Q174" s="4">
        <v>-70779000</v>
      </c>
      <c r="R174" s="4">
        <v>214634000</v>
      </c>
      <c r="S174" s="4" t="s">
        <v>24</v>
      </c>
    </row>
    <row r="175" spans="1:19" ht="16" x14ac:dyDescent="0.2">
      <c r="A175" s="3" t="s">
        <v>176</v>
      </c>
      <c r="B175" s="4">
        <v>-84625000</v>
      </c>
      <c r="C175" s="4">
        <v>-317704000</v>
      </c>
      <c r="D175" s="4">
        <v>-90101000</v>
      </c>
      <c r="E175" s="4">
        <v>-13160000</v>
      </c>
      <c r="F175" s="4">
        <v>-5177000</v>
      </c>
      <c r="G175" s="4">
        <v>-5290000</v>
      </c>
      <c r="H175" s="4">
        <v>-35640000</v>
      </c>
      <c r="I175" s="4">
        <v>-8611000</v>
      </c>
      <c r="J175" s="4">
        <v>-662000</v>
      </c>
      <c r="K175" s="4">
        <v>-230000000</v>
      </c>
      <c r="L175" s="4">
        <v>-235000000</v>
      </c>
      <c r="M175" s="4">
        <v>-485000000</v>
      </c>
      <c r="N175" s="4">
        <v>-575285000</v>
      </c>
      <c r="O175" s="5">
        <v>-893988000</v>
      </c>
      <c r="P175" s="4">
        <v>-155285000</v>
      </c>
      <c r="Q175" s="4">
        <v>-225000000</v>
      </c>
      <c r="R175" s="4">
        <v>-256000000</v>
      </c>
      <c r="S175" s="4">
        <v>-257703000</v>
      </c>
    </row>
    <row r="176" spans="1:19" ht="16" x14ac:dyDescent="0.2">
      <c r="A176" s="3" t="s">
        <v>177</v>
      </c>
      <c r="B176" s="4">
        <v>6770000</v>
      </c>
      <c r="C176" s="4">
        <v>10424000</v>
      </c>
      <c r="D176" s="4">
        <v>-21861000</v>
      </c>
      <c r="E176" s="4">
        <v>-10509000</v>
      </c>
      <c r="F176" s="4">
        <v>-145303000</v>
      </c>
      <c r="G176" s="4">
        <v>-84323000</v>
      </c>
      <c r="H176" s="4">
        <v>96000</v>
      </c>
      <c r="I176" s="4">
        <v>-50000000</v>
      </c>
      <c r="J176" s="4">
        <v>-63131000</v>
      </c>
      <c r="K176" s="4">
        <v>-147190000</v>
      </c>
      <c r="L176" s="4">
        <v>-170832000</v>
      </c>
      <c r="M176" s="4">
        <v>-1020119000</v>
      </c>
      <c r="N176" s="4">
        <v>-11477000</v>
      </c>
      <c r="O176" s="5">
        <v>-16357000</v>
      </c>
      <c r="P176" s="4">
        <v>-4683000</v>
      </c>
      <c r="Q176" s="4">
        <v>-38000</v>
      </c>
      <c r="R176" s="4">
        <v>-10395000</v>
      </c>
      <c r="S176" s="4">
        <v>-1241000</v>
      </c>
    </row>
    <row r="177" spans="1:19" ht="16" x14ac:dyDescent="0.2">
      <c r="A177" s="3" t="s">
        <v>178</v>
      </c>
      <c r="B177" s="4">
        <v>7191000</v>
      </c>
      <c r="C177" s="4">
        <v>10914000</v>
      </c>
      <c r="D177" s="4">
        <v>3706000</v>
      </c>
      <c r="E177" s="4">
        <v>2280000</v>
      </c>
      <c r="F177" s="4">
        <v>1342000</v>
      </c>
      <c r="G177" s="4">
        <v>1864000</v>
      </c>
      <c r="H177" s="4">
        <v>420000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5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</row>
    <row r="178" spans="1:19" ht="16" x14ac:dyDescent="0.2">
      <c r="A178" s="3" t="s">
        <v>179</v>
      </c>
      <c r="B178" s="4">
        <v>-421000</v>
      </c>
      <c r="C178" s="4">
        <v>-490000</v>
      </c>
      <c r="D178" s="4">
        <v>-25567000</v>
      </c>
      <c r="E178" s="4">
        <v>-12789000</v>
      </c>
      <c r="F178" s="4">
        <v>-146645000</v>
      </c>
      <c r="G178" s="4">
        <v>-86187000</v>
      </c>
      <c r="H178" s="4">
        <v>-324000</v>
      </c>
      <c r="I178" s="4">
        <v>-50000000</v>
      </c>
      <c r="J178" s="4">
        <v>-63131000</v>
      </c>
      <c r="K178" s="4">
        <v>-147190000</v>
      </c>
      <c r="L178" s="4">
        <v>-170832000</v>
      </c>
      <c r="M178" s="4">
        <v>-1020119000</v>
      </c>
      <c r="N178" s="4">
        <v>-11477000</v>
      </c>
      <c r="O178" s="5">
        <v>-16357000</v>
      </c>
      <c r="P178" s="4">
        <v>-4683000</v>
      </c>
      <c r="Q178" s="4">
        <v>-38000</v>
      </c>
      <c r="R178" s="4">
        <v>-10395000</v>
      </c>
      <c r="S178" s="4">
        <v>-1241000</v>
      </c>
    </row>
    <row r="179" spans="1:19" ht="16" x14ac:dyDescent="0.2">
      <c r="A179" s="3" t="s">
        <v>180</v>
      </c>
      <c r="B179" s="4" t="s">
        <v>24</v>
      </c>
      <c r="C179" s="4">
        <v>-398000</v>
      </c>
      <c r="D179" s="4">
        <v>-524000</v>
      </c>
      <c r="E179" s="4">
        <v>-867000</v>
      </c>
      <c r="F179" s="4">
        <v>182145000</v>
      </c>
      <c r="G179" s="4">
        <v>253000</v>
      </c>
      <c r="H179" s="4">
        <v>-481000</v>
      </c>
      <c r="I179" s="4">
        <v>-259000</v>
      </c>
      <c r="J179" s="4">
        <v>-183994000</v>
      </c>
      <c r="K179" s="4">
        <v>-3463000</v>
      </c>
      <c r="L179" s="4">
        <v>-2206000</v>
      </c>
      <c r="M179" s="4">
        <v>-14519000</v>
      </c>
      <c r="N179" s="4">
        <v>-53477000</v>
      </c>
      <c r="O179" s="5">
        <v>-2789000</v>
      </c>
      <c r="P179" s="4" t="s">
        <v>24</v>
      </c>
      <c r="Q179" s="4">
        <v>-2177000</v>
      </c>
      <c r="R179" s="4">
        <v>-545000</v>
      </c>
      <c r="S179" s="4">
        <v>-67000</v>
      </c>
    </row>
    <row r="180" spans="1:19" ht="16" x14ac:dyDescent="0.2">
      <c r="A180" s="3" t="s">
        <v>155</v>
      </c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5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</row>
    <row r="181" spans="1:19" ht="16" x14ac:dyDescent="0.2">
      <c r="A181" s="3" t="s">
        <v>181</v>
      </c>
      <c r="B181" s="4">
        <v>5245000</v>
      </c>
      <c r="C181" s="4">
        <v>8917000</v>
      </c>
      <c r="D181" s="4">
        <v>-16400000</v>
      </c>
      <c r="E181" s="4">
        <v>-1161000</v>
      </c>
      <c r="F181" s="4">
        <v>23431000</v>
      </c>
      <c r="G181" s="4">
        <v>-101260000</v>
      </c>
      <c r="H181" s="4">
        <v>-16443000</v>
      </c>
      <c r="I181" s="4">
        <v>-65370000</v>
      </c>
      <c r="J181" s="4">
        <v>-148802000</v>
      </c>
      <c r="K181" s="4">
        <v>-68638000</v>
      </c>
      <c r="L181" s="4">
        <v>-198038000</v>
      </c>
      <c r="M181" s="4">
        <v>-429638000</v>
      </c>
      <c r="N181" s="4">
        <v>1529659000</v>
      </c>
      <c r="O181" s="5">
        <v>-769279000</v>
      </c>
      <c r="P181" s="4">
        <v>-159968000</v>
      </c>
      <c r="Q181" s="4">
        <v>-297994000</v>
      </c>
      <c r="R181" s="4">
        <v>-52306000</v>
      </c>
      <c r="S181" s="4">
        <v>-259011000</v>
      </c>
    </row>
    <row r="182" spans="1:19" ht="16" x14ac:dyDescent="0.2">
      <c r="A182" s="3" t="s">
        <v>182</v>
      </c>
      <c r="B182" s="4">
        <v>799000</v>
      </c>
      <c r="C182" s="4">
        <v>2375000</v>
      </c>
      <c r="D182" s="4">
        <v>-9027000</v>
      </c>
      <c r="E182" s="4">
        <v>10251000</v>
      </c>
      <c r="F182" s="4">
        <v>-3420000</v>
      </c>
      <c r="G182" s="4">
        <v>-13982000</v>
      </c>
      <c r="H182" s="4">
        <v>-430000</v>
      </c>
      <c r="I182" s="4">
        <v>2641000</v>
      </c>
      <c r="J182" s="4">
        <v>-4775000</v>
      </c>
      <c r="K182" s="4">
        <v>-569000</v>
      </c>
      <c r="L182" s="4">
        <v>126000</v>
      </c>
      <c r="M182" s="4">
        <v>-3950000</v>
      </c>
      <c r="N182" s="4">
        <v>-3750000</v>
      </c>
      <c r="O182" s="5">
        <v>4989000</v>
      </c>
      <c r="P182" s="4">
        <v>-7131000</v>
      </c>
      <c r="Q182" s="4">
        <v>5071000</v>
      </c>
      <c r="R182" s="4">
        <v>4000000</v>
      </c>
      <c r="S182" s="4">
        <v>3049000</v>
      </c>
    </row>
    <row r="183" spans="1:19" ht="16" x14ac:dyDescent="0.2">
      <c r="A183" s="3" t="s">
        <v>183</v>
      </c>
      <c r="B183" s="4">
        <v>67441000</v>
      </c>
      <c r="C183" s="4">
        <v>109629000</v>
      </c>
      <c r="D183" s="4">
        <v>45788000</v>
      </c>
      <c r="E183" s="4">
        <v>12545000</v>
      </c>
      <c r="F183" s="4">
        <v>-46212000</v>
      </c>
      <c r="G183" s="4">
        <v>-110189000</v>
      </c>
      <c r="H183" s="4">
        <v>4654000</v>
      </c>
      <c r="I183" s="4">
        <v>21922000</v>
      </c>
      <c r="J183" s="4">
        <v>-44750000</v>
      </c>
      <c r="K183" s="4">
        <v>-14916000</v>
      </c>
      <c r="L183" s="4">
        <v>27102000</v>
      </c>
      <c r="M183" s="4">
        <v>81602000</v>
      </c>
      <c r="N183" s="4">
        <v>-18290000</v>
      </c>
      <c r="O183" s="5">
        <v>-25975000</v>
      </c>
      <c r="P183" s="4">
        <v>-37487000</v>
      </c>
      <c r="Q183" s="4">
        <v>43861000</v>
      </c>
      <c r="R183" s="4">
        <v>-69956000</v>
      </c>
      <c r="S183" s="4">
        <v>37607000</v>
      </c>
    </row>
    <row r="184" spans="1:19" ht="16" x14ac:dyDescent="0.2">
      <c r="A184" s="3" t="s">
        <v>54</v>
      </c>
      <c r="B184" s="4">
        <v>120774000</v>
      </c>
      <c r="C184" s="4">
        <v>168870000</v>
      </c>
      <c r="D184" s="4">
        <v>184278000</v>
      </c>
      <c r="E184" s="4">
        <v>115550000</v>
      </c>
      <c r="F184" s="4">
        <v>62046000</v>
      </c>
      <c r="G184" s="4">
        <v>-12297000</v>
      </c>
      <c r="H184" s="4">
        <v>31033000</v>
      </c>
      <c r="I184" s="4">
        <v>50466000</v>
      </c>
      <c r="J184" s="4">
        <v>92194000</v>
      </c>
      <c r="K184" s="4">
        <v>152862000</v>
      </c>
      <c r="L184" s="4">
        <v>241743000</v>
      </c>
      <c r="M184" s="4">
        <v>715040000</v>
      </c>
      <c r="N184" s="4">
        <v>889985000</v>
      </c>
      <c r="O184" s="5">
        <v>1085787000</v>
      </c>
      <c r="P184" s="4">
        <v>273807000</v>
      </c>
      <c r="Q184" s="4">
        <v>232783000</v>
      </c>
      <c r="R184" s="4">
        <v>248064000</v>
      </c>
      <c r="S184" s="4">
        <v>331133000</v>
      </c>
    </row>
    <row r="185" spans="1:19" ht="16" x14ac:dyDescent="0.2">
      <c r="A185" s="3" t="s">
        <v>55</v>
      </c>
      <c r="B185" s="6">
        <v>15.29</v>
      </c>
      <c r="C185" s="6">
        <v>16.87</v>
      </c>
      <c r="D185" s="6">
        <v>16.41</v>
      </c>
      <c r="E185" s="6">
        <v>9.69</v>
      </c>
      <c r="F185" s="6">
        <v>5.18</v>
      </c>
      <c r="G185" s="6">
        <v>-1.1299999999999999</v>
      </c>
      <c r="H185" s="6">
        <v>2.99</v>
      </c>
      <c r="I185" s="6">
        <v>4.93</v>
      </c>
      <c r="J185" s="6">
        <v>8.4700000000000006</v>
      </c>
      <c r="K185" s="6">
        <v>12.42</v>
      </c>
      <c r="L185" s="6">
        <v>17.440000000000001</v>
      </c>
      <c r="M185" s="6">
        <v>30.91</v>
      </c>
      <c r="N185" s="6">
        <v>25.03</v>
      </c>
      <c r="O185" s="7">
        <v>27.94</v>
      </c>
      <c r="P185" s="6">
        <v>25.82</v>
      </c>
      <c r="Q185" s="6">
        <v>25.03</v>
      </c>
      <c r="R185" s="6">
        <v>26.77</v>
      </c>
      <c r="S185" s="6">
        <v>27.94</v>
      </c>
    </row>
    <row r="186" spans="1:19" ht="16" x14ac:dyDescent="0.2">
      <c r="A186" s="3" t="s">
        <v>184</v>
      </c>
      <c r="B186" s="4" t="s">
        <v>24</v>
      </c>
      <c r="C186" s="4" t="s">
        <v>24</v>
      </c>
      <c r="D186" s="4">
        <v>5169000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>
        <v>2046881000</v>
      </c>
      <c r="O186" s="5">
        <v>6616000</v>
      </c>
      <c r="P186" s="4">
        <v>6616000</v>
      </c>
      <c r="Q186" s="4" t="s">
        <v>24</v>
      </c>
      <c r="R186" s="4" t="s">
        <v>24</v>
      </c>
      <c r="S186" s="4" t="s">
        <v>24</v>
      </c>
    </row>
    <row r="187" spans="1:19" ht="16" x14ac:dyDescent="0.2">
      <c r="A187" s="3" t="s">
        <v>185</v>
      </c>
      <c r="B187" s="4">
        <v>59169000</v>
      </c>
      <c r="C187" s="4">
        <v>100736000</v>
      </c>
      <c r="D187" s="4">
        <v>67295000</v>
      </c>
      <c r="E187" s="4">
        <v>14636000</v>
      </c>
      <c r="F187" s="4">
        <v>-68677000</v>
      </c>
      <c r="G187" s="4">
        <v>-8790000</v>
      </c>
      <c r="H187" s="4">
        <v>17560000</v>
      </c>
      <c r="I187" s="4">
        <v>85147000</v>
      </c>
      <c r="J187" s="4">
        <v>102183000</v>
      </c>
      <c r="K187" s="4">
        <v>53382000</v>
      </c>
      <c r="L187" s="4">
        <v>224869000</v>
      </c>
      <c r="M187" s="4">
        <v>511249000</v>
      </c>
      <c r="N187" s="4">
        <v>498952000</v>
      </c>
      <c r="O187" s="5">
        <v>749920000</v>
      </c>
      <c r="P187" s="4">
        <v>129097000</v>
      </c>
      <c r="Q187" s="4">
        <v>341855000</v>
      </c>
      <c r="R187" s="4">
        <v>-17650000</v>
      </c>
      <c r="S187" s="4">
        <v>296618000</v>
      </c>
    </row>
    <row r="188" spans="1:19" ht="16" x14ac:dyDescent="0.2">
      <c r="A188" s="28" t="s">
        <v>186</v>
      </c>
      <c r="B188" s="26">
        <v>59719747</v>
      </c>
      <c r="C188" s="26">
        <v>101439842</v>
      </c>
      <c r="D188" s="26">
        <v>68050312</v>
      </c>
      <c r="E188" s="26">
        <v>14812566</v>
      </c>
      <c r="F188" s="26" t="s">
        <v>24</v>
      </c>
      <c r="G188" s="26" t="s">
        <v>24</v>
      </c>
      <c r="H188" s="26" t="s">
        <v>24</v>
      </c>
      <c r="I188" s="26">
        <v>85636374</v>
      </c>
      <c r="J188" s="26">
        <v>102922250</v>
      </c>
      <c r="K188" s="26">
        <v>53382000</v>
      </c>
      <c r="L188" s="26">
        <v>224869000</v>
      </c>
      <c r="M188" s="26">
        <v>511249000</v>
      </c>
      <c r="N188" s="26">
        <v>601312682</v>
      </c>
      <c r="O188" s="27">
        <v>879757583</v>
      </c>
      <c r="P188" s="26">
        <v>154282293</v>
      </c>
      <c r="Q188" s="26">
        <v>380924202</v>
      </c>
      <c r="R188" s="26">
        <v>15599194</v>
      </c>
      <c r="S188" s="26">
        <v>329611190</v>
      </c>
    </row>
    <row r="189" spans="1:19" ht="16" x14ac:dyDescent="0.2">
      <c r="A189" s="20" t="s">
        <v>199</v>
      </c>
      <c r="B189" s="21"/>
      <c r="C189" s="22">
        <f>(C188/B188)-1</f>
        <v>0.69859798635784576</v>
      </c>
      <c r="D189" s="22">
        <f>(D188/C188)-1</f>
        <v>-0.3291559740402592</v>
      </c>
      <c r="E189" s="22">
        <f>(E188/D188)-1</f>
        <v>-0.78232919784408927</v>
      </c>
      <c r="F189" s="22" t="e">
        <f t="shared" ref="F189:N189" si="8">(F188/E188)-1</f>
        <v>#VALUE!</v>
      </c>
      <c r="G189" s="22" t="e">
        <f t="shared" si="8"/>
        <v>#VALUE!</v>
      </c>
      <c r="H189" s="22" t="e">
        <f t="shared" si="8"/>
        <v>#VALUE!</v>
      </c>
      <c r="I189" s="22" t="e">
        <f t="shared" si="8"/>
        <v>#VALUE!</v>
      </c>
      <c r="J189" s="22">
        <f t="shared" si="8"/>
        <v>0.20185203077374569</v>
      </c>
      <c r="K189" s="22">
        <f t="shared" si="8"/>
        <v>-0.48133664003653243</v>
      </c>
      <c r="L189" s="22">
        <f t="shared" si="8"/>
        <v>3.2124498894758533</v>
      </c>
      <c r="M189" s="22">
        <f t="shared" si="8"/>
        <v>1.2735414841529957</v>
      </c>
      <c r="N189" s="22">
        <f t="shared" si="8"/>
        <v>0.1761640257487056</v>
      </c>
      <c r="O189" s="22">
        <f>(O188/N188)-1</f>
        <v>0.46306174696644775</v>
      </c>
      <c r="P189" s="22"/>
      <c r="Q189" s="22">
        <f>(Q188/P188)-1</f>
        <v>1.4690079113615457</v>
      </c>
      <c r="R189" s="22">
        <f>(R188/Q188)-1</f>
        <v>-0.95904908662117505</v>
      </c>
      <c r="S189" s="22">
        <f>(S188/R188)-1</f>
        <v>20.130014153295356</v>
      </c>
    </row>
    <row r="190" spans="1:19" ht="16" x14ac:dyDescent="0.2">
      <c r="A190" s="23" t="s">
        <v>200</v>
      </c>
      <c r="B190" s="24">
        <f t="shared" ref="B190:S190" si="9">B188/B2</f>
        <v>7.5623812991091499E-2</v>
      </c>
      <c r="C190" s="24">
        <f t="shared" si="9"/>
        <v>0.1013483244630099</v>
      </c>
      <c r="D190" s="24">
        <f t="shared" si="9"/>
        <v>6.058065647586889E-2</v>
      </c>
      <c r="E190" s="24">
        <f t="shared" si="9"/>
        <v>1.2419564342489184E-2</v>
      </c>
      <c r="F190" s="24" t="e">
        <f t="shared" si="9"/>
        <v>#VALUE!</v>
      </c>
      <c r="G190" s="24" t="e">
        <f t="shared" si="9"/>
        <v>#VALUE!</v>
      </c>
      <c r="H190" s="24" t="e">
        <f t="shared" si="9"/>
        <v>#VALUE!</v>
      </c>
      <c r="I190" s="24">
        <f t="shared" si="9"/>
        <v>8.3669063314291067E-2</v>
      </c>
      <c r="J190" s="24">
        <f t="shared" si="9"/>
        <v>9.4579835600828888E-2</v>
      </c>
      <c r="K190" s="24">
        <f t="shared" si="9"/>
        <v>4.3379086342925727E-2</v>
      </c>
      <c r="L190" s="24">
        <f t="shared" si="9"/>
        <v>0.16224888181472505</v>
      </c>
      <c r="M190" s="24">
        <f t="shared" si="9"/>
        <v>0.22099311148535325</v>
      </c>
      <c r="N190" s="24">
        <f t="shared" si="9"/>
        <v>0.16914633451336644</v>
      </c>
      <c r="O190" s="25">
        <f t="shared" si="9"/>
        <v>0.22634559864196385</v>
      </c>
      <c r="P190" s="24">
        <f t="shared" si="9"/>
        <v>0.1566168233691404</v>
      </c>
      <c r="Q190" s="24">
        <f t="shared" si="9"/>
        <v>0.40302530359874816</v>
      </c>
      <c r="R190" s="24">
        <f t="shared" si="9"/>
        <v>1.7642834037952148E-2</v>
      </c>
      <c r="S190" s="24">
        <f t="shared" si="9"/>
        <v>0.30736789737095604</v>
      </c>
    </row>
    <row r="191" spans="1:19" ht="16" x14ac:dyDescent="0.2">
      <c r="A191" s="3" t="s">
        <v>187</v>
      </c>
      <c r="B191" s="4">
        <v>72766000</v>
      </c>
      <c r="C191" s="4">
        <v>113868000</v>
      </c>
      <c r="D191" s="4">
        <v>96570000</v>
      </c>
      <c r="E191" s="4">
        <v>53505000</v>
      </c>
      <c r="F191" s="4">
        <v>126060000</v>
      </c>
      <c r="G191" s="4">
        <v>-20253000</v>
      </c>
      <c r="H191" s="4">
        <v>12901000</v>
      </c>
      <c r="I191" s="4">
        <v>71615000</v>
      </c>
      <c r="J191" s="4">
        <v>-78709000</v>
      </c>
      <c r="K191" s="4">
        <v>138998000</v>
      </c>
      <c r="L191" s="4">
        <v>200332000</v>
      </c>
      <c r="M191" s="4">
        <v>1116255000</v>
      </c>
      <c r="N191" s="4">
        <v>2093565000</v>
      </c>
      <c r="O191" s="5">
        <v>-213000</v>
      </c>
      <c r="P191" s="4">
        <v>-26188000</v>
      </c>
      <c r="Q191" s="4">
        <v>46076000</v>
      </c>
      <c r="R191" s="4">
        <v>-59016000</v>
      </c>
      <c r="S191" s="4">
        <v>38915000</v>
      </c>
    </row>
    <row r="192" spans="1:19" ht="16" x14ac:dyDescent="0.2">
      <c r="A192" s="3" t="s">
        <v>188</v>
      </c>
      <c r="B192" s="6">
        <v>0.69</v>
      </c>
      <c r="C192" s="6">
        <v>1.1399999999999999</v>
      </c>
      <c r="D192" s="6">
        <v>0.75</v>
      </c>
      <c r="E192" s="6">
        <v>0.17</v>
      </c>
      <c r="F192" s="6">
        <v>-0.81</v>
      </c>
      <c r="G192" s="6">
        <v>-0.12</v>
      </c>
      <c r="H192" s="6">
        <v>0.24</v>
      </c>
      <c r="I192" s="6">
        <v>1.18</v>
      </c>
      <c r="J192" s="6">
        <v>1.49</v>
      </c>
      <c r="K192" s="6">
        <v>0.76</v>
      </c>
      <c r="L192" s="6">
        <v>3.34</v>
      </c>
      <c r="M192" s="6">
        <v>8.18</v>
      </c>
      <c r="N192" s="6">
        <v>8.15</v>
      </c>
      <c r="O192" s="7">
        <v>12.13</v>
      </c>
      <c r="P192" s="6">
        <v>2.09</v>
      </c>
      <c r="Q192" s="6">
        <v>5.54</v>
      </c>
      <c r="R192" s="6">
        <v>-0.28999999999999998</v>
      </c>
      <c r="S192" s="6">
        <v>4.78</v>
      </c>
    </row>
    <row r="193" spans="1:19" ht="16" x14ac:dyDescent="0.2">
      <c r="A193" s="3" t="s">
        <v>189</v>
      </c>
      <c r="B193" s="6">
        <v>10.039999999999999</v>
      </c>
      <c r="C193" s="6">
        <v>7.22</v>
      </c>
      <c r="D193" s="6">
        <v>6.9</v>
      </c>
      <c r="E193" s="6">
        <v>9.31</v>
      </c>
      <c r="F193" s="6">
        <v>23.44</v>
      </c>
      <c r="G193" s="6">
        <v>27.47</v>
      </c>
      <c r="H193" s="6">
        <v>8.1199999999999992</v>
      </c>
      <c r="I193" s="6">
        <v>8.1999999999999993</v>
      </c>
      <c r="J193" s="6">
        <v>14.09</v>
      </c>
      <c r="K193" s="6">
        <v>23.76</v>
      </c>
      <c r="L193" s="6">
        <v>13.9</v>
      </c>
      <c r="M193" s="6">
        <v>13.11</v>
      </c>
      <c r="N193" s="6">
        <v>9.51</v>
      </c>
      <c r="O193" s="7">
        <v>7.42</v>
      </c>
      <c r="P193" s="6">
        <v>7.69</v>
      </c>
      <c r="Q193" s="6">
        <v>10.07</v>
      </c>
      <c r="R193" s="6">
        <v>10.43</v>
      </c>
      <c r="S193" s="6">
        <v>7.68</v>
      </c>
    </row>
    <row r="194" spans="1:19" ht="16" x14ac:dyDescent="0.2">
      <c r="A194" s="3" t="s">
        <v>190</v>
      </c>
      <c r="B194" s="6">
        <v>1.54</v>
      </c>
      <c r="C194" s="6">
        <v>1.26</v>
      </c>
      <c r="D194" s="6">
        <v>0.98</v>
      </c>
      <c r="E194" s="6">
        <v>8.01</v>
      </c>
      <c r="F194" s="6">
        <v>2.37</v>
      </c>
      <c r="G194" s="6">
        <v>-0.12</v>
      </c>
      <c r="H194" s="6">
        <v>-2.41</v>
      </c>
      <c r="I194" s="6">
        <v>9.6</v>
      </c>
      <c r="J194" s="6">
        <v>2.2599999999999998</v>
      </c>
      <c r="K194" s="6">
        <v>0.75</v>
      </c>
      <c r="L194" s="6">
        <v>0.85</v>
      </c>
      <c r="M194" s="6">
        <v>0.78</v>
      </c>
      <c r="N194" s="6">
        <v>1.1200000000000001</v>
      </c>
      <c r="O194" s="7">
        <v>1.27</v>
      </c>
      <c r="P194" s="6">
        <v>0.96</v>
      </c>
      <c r="Q194" s="6">
        <v>2.59</v>
      </c>
      <c r="R194" s="6">
        <v>7.0000000000000007E-2</v>
      </c>
      <c r="S194" s="6">
        <v>1.51</v>
      </c>
    </row>
    <row r="196" spans="1:19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S1 A4:S7 A15:S16 A19:S33 A191:S195 A2:S2 A9:S11 A13 A37:S128 A130:S142 A144:S171 A188:J188 N188:S188 B196:S196 A173:S187 A172:K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13F0-E314-B34F-A511-B3AE56BC9899}">
  <dimension ref="A1:R110"/>
  <sheetViews>
    <sheetView tabSelected="1" workbookViewId="0">
      <selection activeCell="G25" sqref="G25"/>
    </sheetView>
  </sheetViews>
  <sheetFormatPr baseColWidth="10" defaultRowHeight="15" x14ac:dyDescent="0.2"/>
  <cols>
    <col min="1" max="18" width="18.83203125" customWidth="1"/>
  </cols>
  <sheetData>
    <row r="1" spans="1:18" s="113" customFormat="1" ht="22" customHeight="1" x14ac:dyDescent="0.2">
      <c r="A1" s="112" t="e" vm="1">
        <v>#VALUE!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8" s="113" customFormat="1" ht="22" customHeight="1" thickBo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18" ht="22" customHeight="1" x14ac:dyDescent="0.2">
      <c r="A3" s="45" cm="1">
        <f t="array" ref="A3">_FV(A1,"Market cap",TRUE)</f>
        <v>5728997000</v>
      </c>
      <c r="B3" s="46" t="s">
        <v>201</v>
      </c>
      <c r="C3" s="47">
        <f>Financials!O8*0.01</f>
        <v>0.5494</v>
      </c>
      <c r="D3" s="46" t="s">
        <v>202</v>
      </c>
      <c r="E3" s="47">
        <f>SUM(C11:E11)/3</f>
        <v>0.44403963179612432</v>
      </c>
      <c r="F3" s="48" t="s">
        <v>203</v>
      </c>
      <c r="G3" s="49">
        <f>SUM(Financials!K129:N129)/4</f>
        <v>-4.0077158278195968E-2</v>
      </c>
      <c r="H3" s="48" t="s">
        <v>204</v>
      </c>
      <c r="I3" s="50">
        <f>J15*(1+I7)/(I6-I7)</f>
        <v>15310430966.363028</v>
      </c>
      <c r="J3" s="51" t="s">
        <v>205</v>
      </c>
      <c r="K3" s="52">
        <f>(Financials!O172*-1)/Model!A3</f>
        <v>0</v>
      </c>
      <c r="L3" s="53" t="s">
        <v>211</v>
      </c>
      <c r="M3" s="34"/>
      <c r="N3" s="114" t="s">
        <v>206</v>
      </c>
      <c r="O3" s="115"/>
      <c r="P3" s="34"/>
      <c r="Q3" s="34"/>
      <c r="R3" s="34"/>
    </row>
    <row r="4" spans="1:18" ht="22" customHeight="1" x14ac:dyDescent="0.2">
      <c r="A4" s="54">
        <f>Financials!O56-Financials!O96-Financials!O105</f>
        <v>-2122994000</v>
      </c>
      <c r="B4" s="55" t="s">
        <v>207</v>
      </c>
      <c r="C4" s="36">
        <f>Financials!O17*0.01</f>
        <v>0.26690000000000003</v>
      </c>
      <c r="D4" s="55" t="s">
        <v>208</v>
      </c>
      <c r="E4" s="36">
        <f>SUM(C13:E13)/3</f>
        <v>0.89400835480428575</v>
      </c>
      <c r="F4" s="56" t="s">
        <v>209</v>
      </c>
      <c r="G4" s="57">
        <f>A5*(1+(5*0))</f>
        <v>60566620</v>
      </c>
      <c r="H4" s="56" t="s">
        <v>249</v>
      </c>
      <c r="I4" s="35">
        <f>NPV(I6,F15,G15,H15,I15,(J15+I3))</f>
        <v>12706802009.785097</v>
      </c>
      <c r="J4" s="56" t="s">
        <v>210</v>
      </c>
      <c r="K4" s="58" cm="1">
        <f t="array" ref="K4">_FV(A1,"Change (%)",TRUE)</f>
        <v>9.4979999999999995E-3</v>
      </c>
      <c r="L4" s="59" t="s">
        <v>251</v>
      </c>
      <c r="M4" s="34"/>
      <c r="N4" s="116" t="s">
        <v>212</v>
      </c>
      <c r="O4" s="117"/>
      <c r="P4" s="34"/>
      <c r="Q4" s="34"/>
      <c r="R4" s="34"/>
    </row>
    <row r="5" spans="1:18" ht="22" customHeight="1" x14ac:dyDescent="0.2">
      <c r="A5" s="54" cm="1">
        <f t="array" ref="A5">_FV(A1,"Shares outstanding",TRUE)</f>
        <v>60566620</v>
      </c>
      <c r="B5" s="55" t="s">
        <v>213</v>
      </c>
      <c r="C5" s="36">
        <f>F14</f>
        <v>0.18791946308724833</v>
      </c>
      <c r="D5" s="60" t="s">
        <v>214</v>
      </c>
      <c r="E5" s="36">
        <f>SUM(C16:E16)/3</f>
        <v>1.5540517997925181</v>
      </c>
      <c r="F5" s="56" t="s">
        <v>215</v>
      </c>
      <c r="G5" s="57">
        <f>Financials!O56</f>
        <v>166235000</v>
      </c>
      <c r="H5" s="56" t="s">
        <v>216</v>
      </c>
      <c r="I5" s="35">
        <f>I4+G5-G6</f>
        <v>10583808009.785097</v>
      </c>
      <c r="J5" s="56" t="s">
        <v>217</v>
      </c>
      <c r="K5" s="61" cm="1">
        <f t="array" ref="K5">_FV(A1,"Price")</f>
        <v>94.59</v>
      </c>
      <c r="L5" s="62" t="s">
        <v>218</v>
      </c>
      <c r="M5" s="34"/>
      <c r="N5" s="97" t="s">
        <v>219</v>
      </c>
      <c r="O5" s="98">
        <f>Financials!O20</f>
        <v>168092000</v>
      </c>
      <c r="P5" s="34"/>
      <c r="Q5" s="34"/>
      <c r="R5" s="34"/>
    </row>
    <row r="6" spans="1:18" ht="22" customHeight="1" x14ac:dyDescent="0.2">
      <c r="A6" s="63">
        <f>O20/F10</f>
        <v>1.4240608998260005</v>
      </c>
      <c r="B6" s="55" t="s">
        <v>220</v>
      </c>
      <c r="C6" s="36">
        <f>F17</f>
        <v>0.168530947054437</v>
      </c>
      <c r="D6" s="60" t="s">
        <v>200</v>
      </c>
      <c r="E6" s="36">
        <f>Financials!O33/Financials!O126</f>
        <v>0.56236414528154388</v>
      </c>
      <c r="F6" s="55" t="s">
        <v>221</v>
      </c>
      <c r="G6" s="57">
        <f>Financials!O96+Financials!O105</f>
        <v>2289229000</v>
      </c>
      <c r="H6" s="56" t="s">
        <v>222</v>
      </c>
      <c r="I6" s="58">
        <f>N25</f>
        <v>0.10065103833750154</v>
      </c>
      <c r="J6" s="56" t="s">
        <v>223</v>
      </c>
      <c r="K6" s="64">
        <f>I5/G4</f>
        <v>174.74655197508292</v>
      </c>
      <c r="L6" s="65" t="s">
        <v>224</v>
      </c>
      <c r="M6" s="34"/>
      <c r="N6" s="97" t="s">
        <v>225</v>
      </c>
      <c r="O6" s="98">
        <f>Financials!O96</f>
        <v>77656000</v>
      </c>
      <c r="P6" s="34"/>
      <c r="Q6" s="34"/>
      <c r="R6" s="34"/>
    </row>
    <row r="7" spans="1:18" ht="22" customHeight="1" thickBot="1" x14ac:dyDescent="0.25">
      <c r="A7" s="66">
        <f>O20/F12</f>
        <v>7.5780383597883594</v>
      </c>
      <c r="B7" s="67" t="s">
        <v>226</v>
      </c>
      <c r="C7" s="68">
        <f>F15/A3</f>
        <v>0.11834532292476327</v>
      </c>
      <c r="D7" s="67" t="s">
        <v>227</v>
      </c>
      <c r="E7" s="69">
        <f>(Financials!O16*(1-0.25))/(Financials!O126+Financials!O105+Financials!O96)</f>
        <v>0.22367551529656196</v>
      </c>
      <c r="F7" s="67" t="s">
        <v>196</v>
      </c>
      <c r="G7" s="70">
        <f>(Financials!O96+Financials!O105)/Financials!O126</f>
        <v>1.9242231169464314</v>
      </c>
      <c r="H7" s="71" t="s">
        <v>228</v>
      </c>
      <c r="I7" s="72">
        <v>2.5000000000000001E-2</v>
      </c>
      <c r="J7" s="73" t="s">
        <v>229</v>
      </c>
      <c r="K7" s="74">
        <f>K6/K5-1</f>
        <v>0.8474104236714548</v>
      </c>
      <c r="L7" s="75" t="s">
        <v>230</v>
      </c>
      <c r="M7" s="34"/>
      <c r="N7" s="97" t="s">
        <v>231</v>
      </c>
      <c r="O7" s="98">
        <f>Financials!O105</f>
        <v>2211573000</v>
      </c>
      <c r="P7" s="34"/>
      <c r="Q7" s="34"/>
      <c r="R7" s="34"/>
    </row>
    <row r="8" spans="1:18" ht="22" customHeight="1" x14ac:dyDescent="0.2">
      <c r="A8" s="76"/>
      <c r="B8" s="34"/>
      <c r="C8" s="34"/>
      <c r="D8" s="34"/>
      <c r="E8" s="34"/>
      <c r="F8" s="34"/>
      <c r="G8" s="34"/>
      <c r="H8" s="34"/>
      <c r="I8" s="34"/>
      <c r="J8" s="37"/>
      <c r="K8" s="37"/>
      <c r="L8" s="37"/>
      <c r="M8" s="34"/>
      <c r="N8" s="99" t="s">
        <v>212</v>
      </c>
      <c r="O8" s="100">
        <f>O5/(O6+O7)</f>
        <v>7.3427341694518117E-2</v>
      </c>
      <c r="P8" s="34"/>
      <c r="Q8" s="34"/>
      <c r="R8" s="34"/>
    </row>
    <row r="9" spans="1:18" ht="22" customHeight="1" x14ac:dyDescent="0.2">
      <c r="A9" s="77"/>
      <c r="B9" s="78">
        <v>2019</v>
      </c>
      <c r="C9" s="78">
        <v>2020</v>
      </c>
      <c r="D9" s="78">
        <v>2021</v>
      </c>
      <c r="E9" s="79">
        <v>2022</v>
      </c>
      <c r="F9" s="80">
        <v>2023</v>
      </c>
      <c r="G9" s="81">
        <v>2024</v>
      </c>
      <c r="H9" s="81">
        <v>2025</v>
      </c>
      <c r="I9" s="81">
        <v>2026</v>
      </c>
      <c r="J9" s="82">
        <v>2027</v>
      </c>
      <c r="K9" s="37"/>
      <c r="L9" s="37"/>
      <c r="M9" s="37"/>
      <c r="N9" s="97" t="s">
        <v>232</v>
      </c>
      <c r="O9" s="98">
        <f>Financials!O25</f>
        <v>205113000</v>
      </c>
      <c r="P9" s="34"/>
      <c r="Q9" s="34"/>
      <c r="R9" s="34"/>
    </row>
    <row r="10" spans="1:18" ht="22" customHeight="1" x14ac:dyDescent="0.2">
      <c r="A10" s="83" t="s">
        <v>233</v>
      </c>
      <c r="B10" s="84">
        <v>1230593000</v>
      </c>
      <c r="C10" s="84">
        <v>1385951000</v>
      </c>
      <c r="D10" s="84">
        <v>2313416000</v>
      </c>
      <c r="E10" s="85">
        <v>3554985000</v>
      </c>
      <c r="F10" s="84">
        <v>4023000000</v>
      </c>
      <c r="G10" s="84">
        <v>4283000000</v>
      </c>
      <c r="H10" s="84">
        <v>4511000000</v>
      </c>
      <c r="I10" s="84">
        <v>5277000000</v>
      </c>
      <c r="J10" s="85">
        <v>5766000000</v>
      </c>
      <c r="K10" s="86" t="s">
        <v>234</v>
      </c>
      <c r="L10" s="37"/>
      <c r="N10" s="97" t="s">
        <v>235</v>
      </c>
      <c r="O10" s="98">
        <f>Financials!O24</f>
        <v>874152000</v>
      </c>
      <c r="P10" s="34"/>
      <c r="Q10" s="34"/>
      <c r="R10" s="34"/>
    </row>
    <row r="11" spans="1:18" ht="22" customHeight="1" x14ac:dyDescent="0.2">
      <c r="A11" s="87"/>
      <c r="B11" s="38"/>
      <c r="C11" s="38">
        <f t="shared" ref="C11:J11" si="0">(C10/B10)-1</f>
        <v>0.12624645191383332</v>
      </c>
      <c r="D11" s="38">
        <f t="shared" si="0"/>
        <v>0.6691903249104767</v>
      </c>
      <c r="E11" s="38">
        <f t="shared" si="0"/>
        <v>0.53668211856406289</v>
      </c>
      <c r="F11" s="39">
        <f t="shared" si="0"/>
        <v>0.1316503445162216</v>
      </c>
      <c r="G11" s="38">
        <f t="shared" si="0"/>
        <v>6.4628386776037772E-2</v>
      </c>
      <c r="H11" s="38">
        <f t="shared" si="0"/>
        <v>5.3233714685967826E-2</v>
      </c>
      <c r="I11" s="38">
        <f t="shared" si="0"/>
        <v>0.16980713810685</v>
      </c>
      <c r="J11" s="88">
        <f t="shared" si="0"/>
        <v>9.2666287663445202E-2</v>
      </c>
      <c r="K11" s="88">
        <f>SUM(F11:J11)/5</f>
        <v>0.10239717434970448</v>
      </c>
      <c r="L11" s="37"/>
      <c r="M11" s="37"/>
      <c r="N11" s="97" t="s">
        <v>236</v>
      </c>
      <c r="O11" s="101">
        <f>O9/O10</f>
        <v>0.23464225901216265</v>
      </c>
      <c r="P11" s="34"/>
      <c r="Q11" s="34"/>
      <c r="R11" s="34"/>
    </row>
    <row r="12" spans="1:18" ht="22" customHeight="1" x14ac:dyDescent="0.2">
      <c r="A12" s="83" t="s">
        <v>142</v>
      </c>
      <c r="B12" s="84">
        <v>119497000</v>
      </c>
      <c r="C12" s="84">
        <v>312861000</v>
      </c>
      <c r="D12" s="84">
        <v>725694000</v>
      </c>
      <c r="E12" s="84">
        <v>540159000</v>
      </c>
      <c r="F12" s="89">
        <v>756000000</v>
      </c>
      <c r="G12" s="84">
        <v>803000000</v>
      </c>
      <c r="H12" s="84">
        <v>861000000</v>
      </c>
      <c r="I12" s="84">
        <v>1073000000</v>
      </c>
      <c r="J12" s="85">
        <v>1200000000</v>
      </c>
      <c r="K12" s="90" t="s">
        <v>237</v>
      </c>
      <c r="L12" s="37"/>
      <c r="M12" s="37"/>
      <c r="N12" s="97" t="s">
        <v>238</v>
      </c>
      <c r="O12" s="101">
        <f>O8*(1-O11)</f>
        <v>5.6198184366058432E-2</v>
      </c>
      <c r="P12" s="34"/>
      <c r="Q12" s="34"/>
      <c r="R12" s="34"/>
    </row>
    <row r="13" spans="1:18" ht="22" customHeight="1" x14ac:dyDescent="0.2">
      <c r="A13" s="87"/>
      <c r="B13" s="38"/>
      <c r="C13" s="38">
        <f t="shared" ref="C13:J13" si="1">(C12/B12)-1</f>
        <v>1.6181494096086095</v>
      </c>
      <c r="D13" s="38">
        <f t="shared" si="1"/>
        <v>1.319541265929598</v>
      </c>
      <c r="E13" s="38">
        <f t="shared" si="1"/>
        <v>-0.25566561112535036</v>
      </c>
      <c r="F13" s="39">
        <f t="shared" si="1"/>
        <v>0.39958789911859283</v>
      </c>
      <c r="G13" s="38">
        <f t="shared" si="1"/>
        <v>6.2169312169312096E-2</v>
      </c>
      <c r="H13" s="38">
        <f t="shared" si="1"/>
        <v>7.2229140722291474E-2</v>
      </c>
      <c r="I13" s="38">
        <f t="shared" si="1"/>
        <v>0.24622531939605108</v>
      </c>
      <c r="J13" s="88">
        <f t="shared" si="1"/>
        <v>0.11835973904939423</v>
      </c>
      <c r="K13" s="88">
        <f>SUM(F13:J13)/5</f>
        <v>0.17971428209112833</v>
      </c>
      <c r="L13" s="37"/>
      <c r="M13" s="37"/>
      <c r="N13" s="116" t="s">
        <v>239</v>
      </c>
      <c r="O13" s="117"/>
      <c r="P13" s="34"/>
      <c r="Q13" s="34"/>
      <c r="R13" s="34"/>
    </row>
    <row r="14" spans="1:18" ht="22" customHeight="1" x14ac:dyDescent="0.2">
      <c r="A14" s="41" t="s">
        <v>250</v>
      </c>
      <c r="B14" s="42">
        <f>B12/B10</f>
        <v>9.7105216753223852E-2</v>
      </c>
      <c r="C14" s="42">
        <f t="shared" ref="C14:J14" si="2">C12/C10</f>
        <v>0.22573741784521964</v>
      </c>
      <c r="D14" s="42">
        <f t="shared" si="2"/>
        <v>0.3136893667200365</v>
      </c>
      <c r="E14" s="42">
        <f t="shared" si="2"/>
        <v>0.15194410102996214</v>
      </c>
      <c r="F14" s="43">
        <f t="shared" si="2"/>
        <v>0.18791946308724833</v>
      </c>
      <c r="G14" s="42">
        <f t="shared" si="2"/>
        <v>0.18748540742470232</v>
      </c>
      <c r="H14" s="42">
        <f t="shared" si="2"/>
        <v>0.19086677011749059</v>
      </c>
      <c r="I14" s="42">
        <f t="shared" si="2"/>
        <v>0.20333522834944098</v>
      </c>
      <c r="J14" s="44">
        <f t="shared" si="2"/>
        <v>0.20811654526534859</v>
      </c>
      <c r="K14" s="44"/>
      <c r="L14" s="37"/>
      <c r="M14" s="37"/>
      <c r="N14" s="97" t="s">
        <v>241</v>
      </c>
      <c r="O14" s="101">
        <f>'[1]US Treasury Bonds'!$C$8</f>
        <v>4.4160000000000005E-2</v>
      </c>
      <c r="P14" s="34"/>
      <c r="Q14" s="34"/>
      <c r="R14" s="34"/>
    </row>
    <row r="15" spans="1:18" ht="22" customHeight="1" x14ac:dyDescent="0.2">
      <c r="A15" s="83" t="s">
        <v>185</v>
      </c>
      <c r="B15" s="84">
        <v>53382000</v>
      </c>
      <c r="C15" s="84">
        <v>224869000</v>
      </c>
      <c r="D15" s="84">
        <v>511249000</v>
      </c>
      <c r="E15" s="84">
        <v>601312682</v>
      </c>
      <c r="F15" s="89">
        <v>678000000</v>
      </c>
      <c r="G15" s="84">
        <v>771000000</v>
      </c>
      <c r="H15" s="84">
        <v>875000000</v>
      </c>
      <c r="I15" s="84">
        <v>910000000</v>
      </c>
      <c r="J15" s="85">
        <v>1130000000</v>
      </c>
      <c r="K15" s="90" t="s">
        <v>240</v>
      </c>
      <c r="L15" s="37"/>
      <c r="M15" s="37"/>
      <c r="N15" s="97" t="s">
        <v>242</v>
      </c>
      <c r="O15" s="102" cm="1">
        <f t="array" ref="O15">_FV(A1,"Beta")</f>
        <v>1.8637999999999999</v>
      </c>
      <c r="P15" s="34"/>
      <c r="Q15" s="34"/>
      <c r="R15" s="34"/>
    </row>
    <row r="16" spans="1:18" ht="22" customHeight="1" x14ac:dyDescent="0.2">
      <c r="A16" s="91"/>
      <c r="B16" s="38"/>
      <c r="C16" s="38">
        <f t="shared" ref="C16:J16" si="3">(C15/B15)-1</f>
        <v>3.2124498894758533</v>
      </c>
      <c r="D16" s="38">
        <f t="shared" si="3"/>
        <v>1.2735414841529957</v>
      </c>
      <c r="E16" s="38">
        <f t="shared" si="3"/>
        <v>0.1761640257487056</v>
      </c>
      <c r="F16" s="39">
        <f t="shared" si="3"/>
        <v>0.12753317915220697</v>
      </c>
      <c r="G16" s="38">
        <f t="shared" si="3"/>
        <v>0.13716814159292046</v>
      </c>
      <c r="H16" s="38">
        <f t="shared" si="3"/>
        <v>0.13488975356679633</v>
      </c>
      <c r="I16" s="38">
        <f t="shared" si="3"/>
        <v>4.0000000000000036E-2</v>
      </c>
      <c r="J16" s="88">
        <f t="shared" si="3"/>
        <v>0.24175824175824179</v>
      </c>
      <c r="K16" s="88">
        <f>SUM(F16:J16)/5</f>
        <v>0.13626986321403312</v>
      </c>
      <c r="L16" s="37"/>
      <c r="M16" s="37"/>
      <c r="N16" s="97" t="s">
        <v>243</v>
      </c>
      <c r="O16" s="101">
        <v>8.4000000000000005E-2</v>
      </c>
      <c r="P16" s="34"/>
      <c r="Q16" s="34"/>
      <c r="R16" s="34"/>
    </row>
    <row r="17" spans="1:18" ht="22" customHeight="1" x14ac:dyDescent="0.2">
      <c r="A17" s="41" t="s">
        <v>200</v>
      </c>
      <c r="B17" s="42">
        <f>B15/B10</f>
        <v>4.3379086342925727E-2</v>
      </c>
      <c r="C17" s="42">
        <f t="shared" ref="C17:J17" si="4">C15/C10</f>
        <v>0.16224888181472505</v>
      </c>
      <c r="D17" s="42">
        <f t="shared" si="4"/>
        <v>0.22099311148535325</v>
      </c>
      <c r="E17" s="44">
        <f t="shared" si="4"/>
        <v>0.16914633451336644</v>
      </c>
      <c r="F17" s="42">
        <f t="shared" si="4"/>
        <v>0.168530947054437</v>
      </c>
      <c r="G17" s="42">
        <f t="shared" si="4"/>
        <v>0.18001400887228577</v>
      </c>
      <c r="H17" s="42">
        <f t="shared" si="4"/>
        <v>0.19397029483484815</v>
      </c>
      <c r="I17" s="42">
        <f t="shared" si="4"/>
        <v>0.17244646579495926</v>
      </c>
      <c r="J17" s="44">
        <f t="shared" si="4"/>
        <v>0.19597641345820327</v>
      </c>
      <c r="K17" s="44"/>
      <c r="L17" s="37"/>
      <c r="M17" s="37"/>
      <c r="N17" s="103" t="s">
        <v>239</v>
      </c>
      <c r="O17" s="104">
        <f>(O14)+((O15)*(O16-O14))</f>
        <v>0.118413792</v>
      </c>
      <c r="P17" s="34"/>
      <c r="Q17" s="34"/>
      <c r="R17" s="34"/>
    </row>
    <row r="18" spans="1:18" ht="22" customHeight="1" x14ac:dyDescent="0.2">
      <c r="A18" s="92" t="s">
        <v>196</v>
      </c>
      <c r="B18" s="93">
        <v>0.18356121513284809</v>
      </c>
      <c r="C18" s="93">
        <v>0.24182123722703577</v>
      </c>
      <c r="D18" s="93">
        <v>0.52401443883797838</v>
      </c>
      <c r="E18" s="93">
        <v>0.18695770013434343</v>
      </c>
      <c r="F18" s="94"/>
      <c r="G18" s="93"/>
      <c r="H18" s="93"/>
      <c r="I18" s="93"/>
      <c r="J18" s="95"/>
      <c r="K18" s="96"/>
      <c r="L18" s="37"/>
      <c r="M18" s="37"/>
      <c r="N18" s="116" t="s">
        <v>244</v>
      </c>
      <c r="O18" s="117"/>
      <c r="P18" s="34"/>
      <c r="Q18" s="34"/>
      <c r="R18" s="34"/>
    </row>
    <row r="19" spans="1:18" ht="22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97" t="s">
        <v>222</v>
      </c>
      <c r="O19" s="105">
        <f>O6+O7</f>
        <v>2289229000</v>
      </c>
      <c r="P19" s="34"/>
      <c r="Q19" s="34"/>
      <c r="R19" s="34"/>
    </row>
    <row r="20" spans="1:18" ht="22" customHeight="1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97" t="s">
        <v>201</v>
      </c>
      <c r="O20" s="105" cm="1">
        <f t="array" ref="O20">_FV(A1,"Market cap",TRUE)</f>
        <v>5728997000</v>
      </c>
      <c r="P20" s="34"/>
      <c r="Q20" s="34"/>
      <c r="R20" s="34"/>
    </row>
    <row r="21" spans="1:18" ht="22" customHeight="1" x14ac:dyDescent="0.2">
      <c r="A21" s="118" t="str" cm="1">
        <f t="array" ref="A21">_FV(A1,"Industry")</f>
        <v>Textiles &amp; Apparel</v>
      </c>
      <c r="B21" s="118"/>
      <c r="C21" s="119" cm="1">
        <f t="array" ref="C21">_FV(A1,"Year incorporated",TRUE)</f>
        <v>2005</v>
      </c>
      <c r="D21" s="119"/>
      <c r="E21" s="40"/>
      <c r="F21" s="37"/>
      <c r="G21" s="37"/>
      <c r="H21" s="37"/>
      <c r="I21" s="37"/>
      <c r="J21" s="37"/>
      <c r="K21" s="37"/>
      <c r="M21" s="37"/>
      <c r="N21" s="97" t="s">
        <v>245</v>
      </c>
      <c r="O21" s="105">
        <f>O19+O20</f>
        <v>8018226000</v>
      </c>
      <c r="P21" s="34"/>
      <c r="Q21" s="34"/>
      <c r="R21" s="34"/>
    </row>
    <row r="22" spans="1:18" ht="22" customHeight="1" x14ac:dyDescent="0.2">
      <c r="A22" s="118" t="str" cm="1">
        <f t="array" ref="A22">_FV(A1,"Description")</f>
    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  </c>
      <c r="B22" s="118"/>
      <c r="C22" s="118"/>
      <c r="D22" s="118"/>
      <c r="E22" s="118"/>
      <c r="F22" s="37"/>
      <c r="G22" s="37"/>
      <c r="H22" s="37"/>
      <c r="I22" s="37"/>
      <c r="J22" s="37"/>
      <c r="K22" s="37"/>
      <c r="L22" s="37"/>
      <c r="M22" s="37"/>
      <c r="N22" s="99" t="s">
        <v>246</v>
      </c>
      <c r="O22" s="106">
        <f>(O19/O21)</f>
        <v>0.28550317738612008</v>
      </c>
      <c r="P22" s="34"/>
      <c r="Q22" s="34"/>
      <c r="R22" s="34"/>
    </row>
    <row r="23" spans="1:18" ht="22" customHeight="1" x14ac:dyDescent="0.2">
      <c r="A23" s="118"/>
      <c r="B23" s="118"/>
      <c r="C23" s="118"/>
      <c r="D23" s="118"/>
      <c r="E23" s="118"/>
      <c r="F23" s="37"/>
      <c r="G23" s="37"/>
      <c r="H23" s="37"/>
      <c r="I23" s="37"/>
      <c r="J23" s="37"/>
      <c r="K23" s="37"/>
      <c r="L23" s="37"/>
      <c r="M23" s="37"/>
      <c r="N23" s="103" t="s">
        <v>247</v>
      </c>
      <c r="O23" s="107">
        <f>O20/O21</f>
        <v>0.71449682261387992</v>
      </c>
      <c r="P23" s="34"/>
      <c r="Q23" s="34"/>
      <c r="R23" s="34"/>
    </row>
    <row r="24" spans="1:18" ht="22" customHeight="1" x14ac:dyDescent="0.2">
      <c r="A24" s="118"/>
      <c r="B24" s="118"/>
      <c r="C24" s="118"/>
      <c r="D24" s="118"/>
      <c r="E24" s="118"/>
      <c r="F24" s="37"/>
      <c r="G24" s="37"/>
      <c r="H24" s="37"/>
      <c r="I24" s="37"/>
      <c r="J24" s="37"/>
      <c r="K24" s="37"/>
      <c r="L24" s="37"/>
      <c r="M24" s="37"/>
      <c r="N24" s="108" t="s">
        <v>248</v>
      </c>
      <c r="O24" s="109"/>
      <c r="P24" s="34"/>
      <c r="Q24" s="34"/>
      <c r="R24" s="34"/>
    </row>
    <row r="25" spans="1:18" ht="22" customHeight="1" x14ac:dyDescent="0.2">
      <c r="A25" s="118"/>
      <c r="B25" s="118"/>
      <c r="C25" s="118"/>
      <c r="D25" s="118"/>
      <c r="E25" s="118"/>
      <c r="F25" s="37"/>
      <c r="G25" s="37"/>
      <c r="H25" s="37"/>
      <c r="I25" s="37"/>
      <c r="J25" s="37"/>
      <c r="K25" s="37"/>
      <c r="L25" s="37"/>
      <c r="M25" s="37"/>
      <c r="N25" s="110">
        <f>(O22*O12)+(O23*O17)</f>
        <v>0.10065103833750154</v>
      </c>
      <c r="O25" s="111"/>
      <c r="P25" s="34"/>
      <c r="Q25" s="34"/>
      <c r="R25" s="34"/>
    </row>
    <row r="26" spans="1:18" ht="22" customHeight="1" x14ac:dyDescent="0.2">
      <c r="A26" s="118"/>
      <c r="B26" s="118"/>
      <c r="C26" s="118"/>
      <c r="D26" s="118"/>
      <c r="E26" s="118"/>
      <c r="F26" s="37"/>
      <c r="G26" s="37"/>
      <c r="H26" s="37"/>
      <c r="I26" s="37"/>
      <c r="J26" s="37"/>
      <c r="K26" s="37"/>
      <c r="L26" s="37"/>
      <c r="M26" s="37"/>
      <c r="N26" s="37"/>
      <c r="O26" s="34"/>
      <c r="P26" s="34"/>
      <c r="Q26" s="34"/>
      <c r="R26" s="34"/>
    </row>
    <row r="27" spans="1:18" ht="22" customHeight="1" x14ac:dyDescent="0.2">
      <c r="A27" s="118"/>
      <c r="B27" s="118"/>
      <c r="C27" s="118"/>
      <c r="D27" s="118"/>
      <c r="E27" s="118"/>
      <c r="F27" s="37"/>
      <c r="G27" s="37"/>
      <c r="H27" s="37"/>
      <c r="I27" s="37"/>
      <c r="J27" s="37"/>
      <c r="K27" s="37"/>
      <c r="L27" s="37"/>
      <c r="M27" s="37"/>
      <c r="N27" s="37"/>
      <c r="O27" s="34"/>
      <c r="P27" s="34"/>
      <c r="Q27" s="34"/>
      <c r="R27" s="34"/>
    </row>
    <row r="28" spans="1:18" ht="22" customHeight="1" x14ac:dyDescent="0.2">
      <c r="A28" s="118"/>
      <c r="B28" s="118"/>
      <c r="C28" s="118"/>
      <c r="D28" s="118"/>
      <c r="E28" s="118"/>
      <c r="F28" s="37"/>
      <c r="G28" s="37"/>
      <c r="H28" s="37"/>
      <c r="I28" s="37"/>
      <c r="J28" s="37"/>
      <c r="K28" s="37"/>
      <c r="L28" s="37"/>
      <c r="M28" s="37"/>
      <c r="N28" s="37"/>
      <c r="O28" s="34"/>
      <c r="P28" s="34"/>
      <c r="Q28" s="34"/>
      <c r="R28" s="34"/>
    </row>
    <row r="29" spans="1:18" ht="22" customHeight="1" x14ac:dyDescent="0.2">
      <c r="A29" s="118"/>
      <c r="B29" s="118"/>
      <c r="C29" s="118"/>
      <c r="D29" s="118"/>
      <c r="E29" s="118"/>
      <c r="F29" s="37"/>
      <c r="G29" s="37"/>
      <c r="H29" s="37"/>
      <c r="I29" s="37"/>
      <c r="J29" s="37"/>
      <c r="K29" s="37"/>
      <c r="L29" s="37"/>
      <c r="M29" s="37"/>
      <c r="N29" s="37"/>
      <c r="O29" s="34"/>
      <c r="P29" s="34"/>
      <c r="Q29" s="34"/>
      <c r="R29" s="34"/>
    </row>
    <row r="30" spans="1:18" ht="22" customHeight="1" x14ac:dyDescent="0.2">
      <c r="A30" s="118"/>
      <c r="B30" s="118"/>
      <c r="C30" s="118"/>
      <c r="D30" s="118"/>
      <c r="E30" s="118"/>
      <c r="F30" s="37"/>
      <c r="G30" s="37"/>
      <c r="H30" s="37"/>
      <c r="I30" s="37"/>
      <c r="J30" s="37"/>
      <c r="K30" s="37"/>
      <c r="L30" s="37"/>
      <c r="M30" s="37"/>
      <c r="N30" s="37"/>
      <c r="O30" s="34"/>
      <c r="P30" s="34"/>
      <c r="Q30" s="34"/>
      <c r="R30" s="34"/>
    </row>
    <row r="31" spans="1:18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 spans="1:18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 spans="1:18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4"/>
      <c r="R33" s="34"/>
    </row>
    <row r="34" spans="1:18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4"/>
      <c r="R34" s="34"/>
    </row>
    <row r="35" spans="1:18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4"/>
      <c r="R35" s="34"/>
    </row>
    <row r="36" spans="1:18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4"/>
      <c r="R36" s="34"/>
    </row>
    <row r="37" spans="1:18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4"/>
      <c r="R37" s="34"/>
    </row>
    <row r="38" spans="1:18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4"/>
      <c r="R38" s="34"/>
    </row>
    <row r="39" spans="1:18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4"/>
      <c r="R39" s="34"/>
    </row>
    <row r="40" spans="1:18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4"/>
      <c r="R40" s="34"/>
    </row>
    <row r="41" spans="1:18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4"/>
      <c r="R41" s="34"/>
    </row>
    <row r="42" spans="1:18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4"/>
      <c r="R42" s="34"/>
    </row>
    <row r="43" spans="1:18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4"/>
      <c r="R43" s="34"/>
    </row>
    <row r="44" spans="1:18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4"/>
      <c r="R44" s="34"/>
    </row>
    <row r="45" spans="1:18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4"/>
      <c r="R45" s="34"/>
    </row>
    <row r="46" spans="1:18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4"/>
      <c r="R46" s="34"/>
    </row>
    <row r="47" spans="1:18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4"/>
      <c r="R47" s="34"/>
    </row>
    <row r="48" spans="1:18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4"/>
      <c r="R48" s="34"/>
    </row>
    <row r="49" spans="1:18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4"/>
      <c r="R49" s="34"/>
    </row>
    <row r="50" spans="1:18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4"/>
    </row>
    <row r="51" spans="1:18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4"/>
      <c r="R51" s="34"/>
    </row>
    <row r="52" spans="1:18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4"/>
      <c r="R52" s="34"/>
    </row>
    <row r="53" spans="1:18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4"/>
      <c r="R53" s="34"/>
    </row>
    <row r="54" spans="1:18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4"/>
      <c r="R54" s="34"/>
    </row>
    <row r="55" spans="1:18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4"/>
      <c r="R55" s="34"/>
    </row>
    <row r="56" spans="1:18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4"/>
      <c r="R56" s="34"/>
    </row>
    <row r="57" spans="1:18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4"/>
      <c r="R57" s="34"/>
    </row>
    <row r="58" spans="1:18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4"/>
      <c r="R58" s="34"/>
    </row>
    <row r="59" spans="1:18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4"/>
      <c r="R59" s="34"/>
    </row>
    <row r="60" spans="1:18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4"/>
      <c r="R60" s="34"/>
    </row>
    <row r="61" spans="1:18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4"/>
      <c r="R61" s="34"/>
    </row>
    <row r="62" spans="1:18" x14ac:dyDescent="0.2">
      <c r="O62" s="34"/>
      <c r="P62" s="34"/>
      <c r="Q62" s="34"/>
      <c r="R62" s="34"/>
    </row>
    <row r="63" spans="1:18" x14ac:dyDescent="0.2">
      <c r="O63" s="34"/>
      <c r="P63" s="34"/>
    </row>
    <row r="64" spans="1:18" x14ac:dyDescent="0.2">
      <c r="O64" s="34"/>
      <c r="P64" s="34"/>
    </row>
    <row r="65" spans="15:16" x14ac:dyDescent="0.2">
      <c r="O65" s="34"/>
      <c r="P65" s="34"/>
    </row>
    <row r="66" spans="15:16" x14ac:dyDescent="0.2">
      <c r="O66" s="34"/>
      <c r="P66" s="34"/>
    </row>
    <row r="67" spans="15:16" x14ac:dyDescent="0.2">
      <c r="O67" s="34"/>
      <c r="P67" s="34"/>
    </row>
    <row r="68" spans="15:16" x14ac:dyDescent="0.2">
      <c r="O68" s="34"/>
      <c r="P68" s="34"/>
    </row>
    <row r="69" spans="15:16" x14ac:dyDescent="0.2">
      <c r="O69" s="34"/>
      <c r="P69" s="34"/>
    </row>
    <row r="70" spans="15:16" x14ac:dyDescent="0.2">
      <c r="O70" s="34"/>
      <c r="P70" s="34"/>
    </row>
    <row r="71" spans="15:16" x14ac:dyDescent="0.2">
      <c r="O71" s="34"/>
      <c r="P71" s="34"/>
    </row>
    <row r="72" spans="15:16" x14ac:dyDescent="0.2">
      <c r="O72" s="34"/>
      <c r="P72" s="34"/>
    </row>
    <row r="73" spans="15:16" x14ac:dyDescent="0.2">
      <c r="O73" s="34"/>
      <c r="P73" s="34"/>
    </row>
    <row r="74" spans="15:16" x14ac:dyDescent="0.2">
      <c r="O74" s="34"/>
      <c r="P74" s="34"/>
    </row>
    <row r="75" spans="15:16" x14ac:dyDescent="0.2">
      <c r="O75" s="34"/>
      <c r="P75" s="34"/>
    </row>
    <row r="76" spans="15:16" x14ac:dyDescent="0.2">
      <c r="O76" s="34"/>
      <c r="P76" s="34"/>
    </row>
    <row r="77" spans="15:16" x14ac:dyDescent="0.2">
      <c r="O77" s="34"/>
      <c r="P77" s="34"/>
    </row>
    <row r="78" spans="15:16" x14ac:dyDescent="0.2">
      <c r="O78" s="34"/>
      <c r="P78" s="34"/>
    </row>
    <row r="79" spans="15:16" x14ac:dyDescent="0.2">
      <c r="O79" s="34"/>
      <c r="P79" s="34"/>
    </row>
    <row r="80" spans="15:16" x14ac:dyDescent="0.2">
      <c r="O80" s="34"/>
      <c r="P80" s="34"/>
    </row>
    <row r="81" spans="15:16" x14ac:dyDescent="0.2">
      <c r="O81" s="34"/>
      <c r="P81" s="34"/>
    </row>
    <row r="82" spans="15:16" x14ac:dyDescent="0.2">
      <c r="O82" s="34"/>
      <c r="P82" s="34"/>
    </row>
    <row r="83" spans="15:16" x14ac:dyDescent="0.2">
      <c r="O83" s="34"/>
      <c r="P83" s="34"/>
    </row>
    <row r="84" spans="15:16" x14ac:dyDescent="0.2">
      <c r="O84" s="34"/>
      <c r="P84" s="34"/>
    </row>
    <row r="85" spans="15:16" x14ac:dyDescent="0.2">
      <c r="O85" s="34"/>
      <c r="P85" s="34"/>
    </row>
    <row r="86" spans="15:16" x14ac:dyDescent="0.2">
      <c r="O86" s="34"/>
      <c r="P86" s="34"/>
    </row>
    <row r="87" spans="15:16" x14ac:dyDescent="0.2">
      <c r="O87" s="34"/>
      <c r="P87" s="34"/>
    </row>
    <row r="88" spans="15:16" x14ac:dyDescent="0.2">
      <c r="O88" s="34"/>
      <c r="P88" s="34"/>
    </row>
    <row r="89" spans="15:16" x14ac:dyDescent="0.2">
      <c r="O89" s="34"/>
      <c r="P89" s="34"/>
    </row>
    <row r="90" spans="15:16" x14ac:dyDescent="0.2">
      <c r="O90" s="34"/>
      <c r="P90" s="34"/>
    </row>
    <row r="91" spans="15:16" x14ac:dyDescent="0.2">
      <c r="O91" s="34"/>
      <c r="P91" s="34"/>
    </row>
    <row r="92" spans="15:16" x14ac:dyDescent="0.2">
      <c r="O92" s="34"/>
      <c r="P92" s="34"/>
    </row>
    <row r="93" spans="15:16" x14ac:dyDescent="0.2">
      <c r="O93" s="34"/>
      <c r="P93" s="34"/>
    </row>
    <row r="94" spans="15:16" x14ac:dyDescent="0.2">
      <c r="O94" s="34"/>
      <c r="P94" s="34"/>
    </row>
    <row r="95" spans="15:16" x14ac:dyDescent="0.2">
      <c r="O95" s="34"/>
      <c r="P95" s="34"/>
    </row>
    <row r="96" spans="15:16" x14ac:dyDescent="0.2">
      <c r="O96" s="34"/>
      <c r="P96" s="34"/>
    </row>
    <row r="97" spans="15:16" x14ac:dyDescent="0.2">
      <c r="O97" s="34"/>
      <c r="P97" s="34"/>
    </row>
    <row r="98" spans="15:16" x14ac:dyDescent="0.2">
      <c r="O98" s="34"/>
      <c r="P98" s="34"/>
    </row>
    <row r="99" spans="15:16" x14ac:dyDescent="0.2">
      <c r="O99" s="34"/>
      <c r="P99" s="34"/>
    </row>
    <row r="100" spans="15:16" x14ac:dyDescent="0.2">
      <c r="O100" s="34"/>
      <c r="P100" s="34"/>
    </row>
    <row r="101" spans="15:16" x14ac:dyDescent="0.2">
      <c r="O101" s="34"/>
      <c r="P101" s="34"/>
    </row>
    <row r="102" spans="15:16" x14ac:dyDescent="0.2">
      <c r="O102" s="34"/>
      <c r="P102" s="34"/>
    </row>
    <row r="103" spans="15:16" x14ac:dyDescent="0.2">
      <c r="O103" s="34"/>
      <c r="P103" s="34"/>
    </row>
    <row r="104" spans="15:16" x14ac:dyDescent="0.2">
      <c r="O104" s="34"/>
      <c r="P104" s="34"/>
    </row>
    <row r="105" spans="15:16" x14ac:dyDescent="0.2">
      <c r="O105" s="34"/>
      <c r="P105" s="34"/>
    </row>
    <row r="106" spans="15:16" x14ac:dyDescent="0.2">
      <c r="O106" s="34"/>
      <c r="P106" s="34"/>
    </row>
    <row r="107" spans="15:16" x14ac:dyDescent="0.2">
      <c r="O107" s="34"/>
      <c r="P107" s="34"/>
    </row>
    <row r="108" spans="15:16" x14ac:dyDescent="0.2">
      <c r="O108" s="34"/>
      <c r="P108" s="34"/>
    </row>
    <row r="109" spans="15:16" x14ac:dyDescent="0.2">
      <c r="O109" s="34"/>
      <c r="P109" s="34"/>
    </row>
    <row r="110" spans="15:16" x14ac:dyDescent="0.2">
      <c r="O110" s="34"/>
      <c r="P110" s="34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NASDAQGS:CROX/explorer/revenue_proj" xr:uid="{E6C844F8-1DA4-C948-A17D-E24D30A57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2023-11-27T06:59:13Z</dcterms:modified>
</cp:coreProperties>
</file>