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6CC7FDC3-41A7-0144-BA73-40F2E384E7D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8" i="2" a="1"/>
  <c r="K8" i="2" s="1"/>
  <c r="J10" i="2" s="1"/>
  <c r="O10" i="2"/>
  <c r="O9" i="2"/>
  <c r="O7" i="2"/>
  <c r="G7" i="2"/>
  <c r="E7" i="2"/>
  <c r="O6" i="2"/>
  <c r="G6" i="2"/>
  <c r="E6" i="2"/>
  <c r="O5" i="2"/>
  <c r="G5" i="2"/>
  <c r="C4" i="2"/>
  <c r="A4" i="2"/>
  <c r="C3" i="2"/>
  <c r="F15" i="2" l="1"/>
  <c r="G15" i="2"/>
  <c r="F12" i="2"/>
  <c r="I15" i="2"/>
  <c r="G12" i="2"/>
  <c r="J15" i="2"/>
  <c r="H12" i="2"/>
  <c r="I12" i="2"/>
  <c r="J12" i="2"/>
  <c r="H15" i="2"/>
  <c r="F10" i="2"/>
  <c r="G10" i="2"/>
  <c r="H10" i="2"/>
  <c r="I10" i="2"/>
  <c r="A22" i="2" l="1"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E4" i="2" s="1"/>
  <c r="J11" i="2"/>
  <c r="I11" i="2"/>
  <c r="H11" i="2"/>
  <c r="G11" i="2"/>
  <c r="F11" i="2"/>
  <c r="E11" i="2"/>
  <c r="D11" i="2"/>
  <c r="C11" i="2"/>
  <c r="E3" i="2" s="1"/>
  <c r="O11" i="2"/>
  <c r="O19" i="2"/>
  <c r="O8" i="2"/>
  <c r="K5" i="2" a="1"/>
  <c r="K5" i="2" s="1"/>
  <c r="A5" i="2" a="1"/>
  <c r="A5" i="2" s="1"/>
  <c r="G4"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6" i="2"/>
  <c r="K3" i="2"/>
  <c r="O12" i="2"/>
  <c r="K11"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4"/>
        </ext>
      </extLst>
    </bk>
  </futureMetadata>
  <cellMetadata count="1">
    <bk>
      <rc t="1" v="0"/>
    </bk>
  </cellMetadata>
  <valueMetadata count="2">
    <bk>
      <rc t="2" v="0"/>
    </bk>
    <bk>
      <rc t="2" v="1"/>
    </bk>
  </valueMetadata>
</metadata>
</file>

<file path=xl/sharedStrings.xml><?xml version="1.0" encoding="utf-8"?>
<sst xmlns="http://schemas.openxmlformats.org/spreadsheetml/2006/main" count="1254" uniqueCount="254">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</sst>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5">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
      <left/>
      <right style="medium">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3" fontId="5" fillId="0" borderId="6" xfId="0" applyNumberFormat="1" applyFont="1" applyBorder="1"/>
    <xf numFmtId="3" fontId="6" fillId="4" borderId="6" xfId="0" applyNumberFormat="1" applyFont="1" applyFill="1" applyBorder="1"/>
    <xf numFmtId="4" fontId="7" fillId="0" borderId="6" xfId="0" applyNumberFormat="1" applyFont="1" applyBorder="1"/>
    <xf numFmtId="4" fontId="8" fillId="5"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6"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6" xfId="0" applyNumberFormat="1" applyFont="1" applyFill="1" applyBorder="1" applyAlignment="1">
      <alignment horizontal="right" vertical="center" indent="1"/>
    </xf>
    <xf numFmtId="165" fontId="4" fillId="9" borderId="16"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9"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20" xfId="0" applyNumberFormat="1" applyFont="1" applyFill="1" applyBorder="1" applyAlignment="1">
      <alignment horizontal="right" vertical="center" indent="1"/>
    </xf>
    <xf numFmtId="9" fontId="12" fillId="10" borderId="21" xfId="1" applyFont="1" applyFill="1" applyBorder="1" applyAlignment="1">
      <alignment horizontal="left" vertical="center" indent="1"/>
    </xf>
    <xf numFmtId="165" fontId="4" fillId="9" borderId="22" xfId="1" applyNumberFormat="1" applyFont="1" applyFill="1" applyBorder="1" applyAlignment="1">
      <alignment horizontal="right" vertical="center" indent="1"/>
    </xf>
    <xf numFmtId="9" fontId="4" fillId="9" borderId="22" xfId="1" applyFont="1" applyFill="1" applyBorder="1" applyAlignment="1">
      <alignment horizontal="right" vertical="center" indent="1"/>
    </xf>
    <xf numFmtId="2" fontId="4" fillId="9" borderId="21" xfId="0"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5" fontId="4" fillId="14" borderId="23" xfId="1" applyNumberFormat="1" applyFont="1" applyFill="1" applyBorder="1" applyAlignment="1">
      <alignment horizontal="right" vertical="center" indent="1"/>
    </xf>
    <xf numFmtId="9" fontId="18" fillId="10" borderId="21" xfId="1" applyFont="1" applyFill="1" applyBorder="1" applyAlignment="1">
      <alignment horizontal="left" vertical="center" indent="1"/>
    </xf>
    <xf numFmtId="9" fontId="3" fillId="13" borderId="22" xfId="1" applyFont="1" applyFill="1" applyBorder="1" applyAlignment="1">
      <alignment horizontal="right" vertical="center" indent="1"/>
    </xf>
    <xf numFmtId="9" fontId="17" fillId="10" borderId="24"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25" xfId="0" applyFont="1" applyFill="1" applyBorder="1"/>
    <xf numFmtId="0" fontId="1" fillId="11" borderId="25" xfId="0" applyFont="1" applyFill="1" applyBorder="1" applyAlignment="1">
      <alignment vertical="center"/>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5" xfId="0" applyNumberFormat="1" applyFont="1" applyFill="1" applyBorder="1" applyAlignment="1">
      <alignment vertical="center"/>
    </xf>
    <xf numFmtId="0" fontId="13" fillId="9" borderId="27" xfId="0" applyFont="1" applyFill="1" applyBorder="1" applyAlignment="1">
      <alignment horizontal="right" vertical="center" indent="1"/>
    </xf>
    <xf numFmtId="0" fontId="13" fillId="9" borderId="28"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9"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30"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10" fontId="12" fillId="12" borderId="29"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31" xfId="0" applyFont="1" applyFill="1" applyBorder="1" applyAlignment="1">
      <alignment horizontal="left" vertical="center" wrapText="1"/>
    </xf>
    <xf numFmtId="10" fontId="20" fillId="12" borderId="32" xfId="0" applyNumberFormat="1" applyFont="1" applyFill="1" applyBorder="1" applyAlignment="1">
      <alignment vertical="center"/>
    </xf>
    <xf numFmtId="9" fontId="13" fillId="10" borderId="31" xfId="1" applyFont="1" applyFill="1" applyBorder="1" applyAlignment="1">
      <alignment horizontal="left" vertical="center" indent="2"/>
    </xf>
    <xf numFmtId="9" fontId="4" fillId="10" borderId="33" xfId="1" applyFont="1" applyFill="1" applyBorder="1" applyAlignment="1">
      <alignment horizontal="right" vertical="center" indent="1"/>
    </xf>
    <xf numFmtId="9" fontId="4" fillId="10" borderId="31" xfId="1" applyFont="1" applyFill="1" applyBorder="1" applyAlignment="1">
      <alignment horizontal="right" vertical="center" indent="1"/>
    </xf>
    <xf numFmtId="9" fontId="4" fillId="10" borderId="32" xfId="1" applyFont="1" applyFill="1" applyBorder="1" applyAlignment="1">
      <alignment horizontal="right" vertical="center" indent="1"/>
    </xf>
    <xf numFmtId="9" fontId="4" fillId="10" borderId="32"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32" xfId="0" applyNumberFormat="1" applyFont="1" applyFill="1" applyBorder="1" applyAlignment="1">
      <alignment horizontal="right" vertical="center"/>
    </xf>
    <xf numFmtId="0" fontId="3" fillId="9" borderId="26" xfId="0" applyFont="1" applyFill="1" applyBorder="1" applyAlignment="1">
      <alignment horizontal="left" vertical="center" indent="2"/>
    </xf>
    <xf numFmtId="9" fontId="12" fillId="10" borderId="13" xfId="1" applyFont="1" applyFill="1" applyBorder="1" applyAlignment="1">
      <alignment horizontal="left" vertical="center" indent="1"/>
    </xf>
    <xf numFmtId="2" fontId="4" fillId="9" borderId="34" xfId="0" applyNumberFormat="1" applyFont="1" applyFill="1" applyBorder="1" applyAlignment="1">
      <alignment horizontal="right" vertical="center" indent="1"/>
    </xf>
    <xf numFmtId="0" fontId="12" fillId="11" borderId="1" xfId="0" applyFont="1" applyFill="1" applyBorder="1" applyAlignment="1">
      <alignment horizontal="left" vertical="center" wrapText="1" indent="3"/>
    </xf>
    <xf numFmtId="9" fontId="4" fillId="10" borderId="31" xfId="1" applyFont="1" applyFill="1" applyBorder="1" applyAlignment="1">
      <alignment horizontal="center" vertical="center"/>
    </xf>
    <xf numFmtId="9" fontId="4" fillId="10" borderId="32" xfId="1" applyFont="1" applyFill="1" applyBorder="1" applyAlignment="1">
      <alignment horizontal="center" vertical="center"/>
    </xf>
    <xf numFmtId="10" fontId="13" fillId="9" borderId="31" xfId="1" applyNumberFormat="1" applyFont="1" applyFill="1" applyBorder="1" applyAlignment="1">
      <alignment horizontal="center" vertical="center"/>
    </xf>
    <xf numFmtId="10" fontId="13" fillId="9" borderId="32"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xf numFmtId="0" fontId="12" fillId="11" borderId="1" xfId="0" applyFont="1" applyFill="1" applyBorder="1" applyAlignment="1">
      <alignment vertical="center" wrapTex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
  <rv s="0">
    <v>https://www.bing.com/financeapi/forcetrigger?t=a1ntlh&amp;q=XNAS%3aASML&amp;form=skydnc</v>
    <v>Learn more on Bing</v>
  </rv>
  <rv s="1">
    <v>0</v>
    <v>ASML Holding NV (XNAS:ASML)</v>
    <v>2</v>
    <v>3</v>
    <v>Finance</v>
    <v>4</v>
    <v>en-US</v>
    <v>a1ntlh</v>
    <v>268435456</v>
    <v>1</v>
    <v>Powered by Refinitiv</v>
    <v>771.98</v>
    <v>529.01</v>
    <v>1.4681</v>
    <v>8.44</v>
    <v>1.2343999999999999E-2</v>
    <v>0.5</v>
    <v>7.2230000000000005E-4</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Nasdaq Stock Market</v>
    <v>XNAS</v>
    <v>XNAS</v>
    <v>De Run 6501, VELDHOVEN, NOORD-BRABANT, 5504 DR NL</v>
    <v>695.57950000000005</v>
    <v>Semiconductors &amp; Semiconductor Equipment</v>
    <v>Stock</v>
    <v>45262.030571388284</v>
    <v>0</v>
    <v>683.04499999999996</v>
    <v>251155200000</v>
    <v>ASML Holding NV</v>
    <v>ASML Holding NV</v>
    <v>688.17</v>
    <v>33.479799999999997</v>
    <v>683.76</v>
    <v>692.2</v>
    <v>692.7</v>
    <v>403138400</v>
    <v>ASML</v>
    <v>ASML Holding NV (XNAS:ASML)</v>
    <v>857676</v>
    <v>827990</v>
    <v>1994</v>
  </rv>
  <rv s="2">
    <v>1</v>
  </rv>
  <rv s="3">
    <v>5</v>
    <v>EUR/USD</v>
    <v>6</v>
    <v>7</v>
    <v>Finance</v>
    <v>8</v>
    <v>en-US</v>
    <v>av932w</v>
    <v>268435456</v>
    <v>1</v>
    <v>Powered by Refinitiv</v>
    <v>1.1274999999999999</v>
    <v>1.0287999999999999</v>
    <v>-5.0000000000000001E-4</v>
    <v>-4.593E-4</v>
    <v>USD</v>
    <v>EUR</v>
    <v>Currency Pair</v>
    <v>45261.916666666664</v>
    <v>Euro/US Dollar FX Spot Rate</v>
    <v>1.0886</v>
    <v>1.0881000000000001</v>
    <v>EURUSD</v>
    <v>EUR/USD</v>
  </rv>
  <rv s="2">
    <v>3</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5">
      <v>1</v>
      <v>Name</v>
    </spb>
    <spb s="6">
      <v>1</v>
      <v>1</v>
    </spb>
    <spb s="7">
      <v>3</v>
      <v>1</v>
      <v>1</v>
      <v>5</v>
      <v>1</v>
      <v>1</v>
      <v>1</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SM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ENXTAM:ASM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0" workbookViewId="0">
      <pane xSplit="1" topLeftCell="J1" activePane="topRight" state="frozen"/>
      <selection pane="topRight" activeCell="K199" sqref="K199"/>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34" t="s">
        <v>18</v>
      </c>
      <c r="B2" s="30">
        <v>6047544304</v>
      </c>
      <c r="C2" s="30">
        <v>7335862548</v>
      </c>
      <c r="D2" s="30">
        <v>6237969666</v>
      </c>
      <c r="E2" s="30">
        <v>7227754527</v>
      </c>
      <c r="F2" s="30">
        <v>7086406255</v>
      </c>
      <c r="G2" s="30">
        <v>6829973069</v>
      </c>
      <c r="H2" s="30">
        <v>7166830181</v>
      </c>
      <c r="I2" s="30">
        <v>10870578069</v>
      </c>
      <c r="J2" s="30">
        <v>12510574065</v>
      </c>
      <c r="K2" s="30">
        <v>13267929079</v>
      </c>
      <c r="L2" s="30">
        <v>17103476148</v>
      </c>
      <c r="M2" s="30">
        <v>21164496572</v>
      </c>
      <c r="N2" s="30">
        <v>22597252923</v>
      </c>
      <c r="O2" s="31">
        <v>28323363445</v>
      </c>
      <c r="P2" s="30">
        <v>6862613267</v>
      </c>
      <c r="Q2" s="30">
        <v>7329400422</v>
      </c>
      <c r="R2" s="30">
        <v>7530411647</v>
      </c>
      <c r="S2" s="30">
        <v>7065039017</v>
      </c>
    </row>
    <row r="3" spans="1:19" ht="16" x14ac:dyDescent="0.2">
      <c r="A3" s="9" t="s">
        <v>191</v>
      </c>
      <c r="B3" s="10"/>
      <c r="C3" s="11">
        <f t="shared" ref="C3:O3" si="0">(C2/B2)-1</f>
        <v>0.21303163387292146</v>
      </c>
      <c r="D3" s="11">
        <f t="shared" si="0"/>
        <v>-0.14966104869281149</v>
      </c>
      <c r="E3" s="11">
        <f t="shared" si="0"/>
        <v>0.15867099617281144</v>
      </c>
      <c r="F3" s="11">
        <f t="shared" si="0"/>
        <v>-1.955631883622766E-2</v>
      </c>
      <c r="G3" s="11">
        <f t="shared" si="0"/>
        <v>-3.6186633502569343E-2</v>
      </c>
      <c r="H3" s="11">
        <f t="shared" si="0"/>
        <v>4.932041584891933E-2</v>
      </c>
      <c r="I3" s="11">
        <f t="shared" si="0"/>
        <v>0.51679023982164596</v>
      </c>
      <c r="J3" s="11">
        <f t="shared" si="0"/>
        <v>0.1508655736236173</v>
      </c>
      <c r="K3" s="11">
        <f t="shared" si="0"/>
        <v>6.0537191184439898E-2</v>
      </c>
      <c r="L3" s="11">
        <f t="shared" si="0"/>
        <v>0.28908407982604944</v>
      </c>
      <c r="M3" s="11">
        <f t="shared" si="0"/>
        <v>0.23743830721071735</v>
      </c>
      <c r="N3" s="11">
        <f t="shared" si="0"/>
        <v>6.7696216922801478E-2</v>
      </c>
      <c r="O3" s="11">
        <f t="shared" si="0"/>
        <v>0.25339852332987944</v>
      </c>
      <c r="P3" s="11"/>
      <c r="Q3" s="11">
        <f t="shared" ref="Q3:S3" si="1">(Q2/P2)-1</f>
        <v>6.8018863491058568E-2</v>
      </c>
      <c r="R3" s="11">
        <f t="shared" si="1"/>
        <v>2.7425329962413203E-2</v>
      </c>
      <c r="S3" s="11">
        <f t="shared" si="1"/>
        <v>-6.1799095695571626E-2</v>
      </c>
    </row>
    <row r="4" spans="1:19" ht="16" x14ac:dyDescent="0.2">
      <c r="A4" s="3" t="s">
        <v>19</v>
      </c>
      <c r="B4" s="4">
        <v>6047544304</v>
      </c>
      <c r="C4" s="4">
        <v>7335862548</v>
      </c>
      <c r="D4" s="4">
        <v>6237969666</v>
      </c>
      <c r="E4" s="4">
        <v>7227754527</v>
      </c>
      <c r="F4" s="4">
        <v>7086406255</v>
      </c>
      <c r="G4" s="4">
        <v>6829973069</v>
      </c>
      <c r="H4" s="4">
        <v>7166830181</v>
      </c>
      <c r="I4" s="4">
        <v>10870578069</v>
      </c>
      <c r="J4" s="4">
        <v>12510574065</v>
      </c>
      <c r="K4" s="4">
        <v>13267929079</v>
      </c>
      <c r="L4" s="4">
        <v>17103476148</v>
      </c>
      <c r="M4" s="4">
        <v>21164496572</v>
      </c>
      <c r="N4" s="4">
        <v>22597252923</v>
      </c>
      <c r="O4" s="5">
        <v>28323363445</v>
      </c>
      <c r="P4" s="4">
        <v>6862613267</v>
      </c>
      <c r="Q4" s="4">
        <v>7329400422</v>
      </c>
      <c r="R4" s="4">
        <v>7530411647</v>
      </c>
      <c r="S4" s="4">
        <v>7065039017</v>
      </c>
    </row>
    <row r="5" spans="1:19" ht="16" x14ac:dyDescent="0.2">
      <c r="A5" s="3" t="s">
        <v>20</v>
      </c>
      <c r="B5" s="4">
        <v>3424558297</v>
      </c>
      <c r="C5" s="4">
        <v>4282960547</v>
      </c>
      <c r="D5" s="4">
        <v>3594330910</v>
      </c>
      <c r="E5" s="4">
        <v>4353395262</v>
      </c>
      <c r="F5" s="4">
        <v>4064455895</v>
      </c>
      <c r="G5" s="4">
        <v>3684387769</v>
      </c>
      <c r="H5" s="4">
        <v>3955637138</v>
      </c>
      <c r="I5" s="4">
        <v>5975287594</v>
      </c>
      <c r="J5" s="4">
        <v>7116875087</v>
      </c>
      <c r="K5" s="4">
        <v>7767575502</v>
      </c>
      <c r="L5" s="4">
        <v>8786721985</v>
      </c>
      <c r="M5" s="4">
        <v>10009666263</v>
      </c>
      <c r="N5" s="4">
        <v>11377602758</v>
      </c>
      <c r="O5" s="5">
        <v>13787043021</v>
      </c>
      <c r="P5" s="4">
        <v>3329064347</v>
      </c>
      <c r="Q5" s="4">
        <v>3621133617</v>
      </c>
      <c r="R5" s="4">
        <v>3663906442</v>
      </c>
      <c r="S5" s="4">
        <v>3400069878</v>
      </c>
    </row>
    <row r="6" spans="1:19" ht="16" x14ac:dyDescent="0.2">
      <c r="A6" s="3" t="s">
        <v>21</v>
      </c>
      <c r="B6" s="4">
        <v>3424558297</v>
      </c>
      <c r="C6" s="4">
        <v>4282960547</v>
      </c>
      <c r="D6" s="4">
        <v>3594330910</v>
      </c>
      <c r="E6" s="4">
        <v>4353395262</v>
      </c>
      <c r="F6" s="4">
        <v>4064455895</v>
      </c>
      <c r="G6" s="4">
        <v>3684387769</v>
      </c>
      <c r="H6" s="4">
        <v>3955637138</v>
      </c>
      <c r="I6" s="4">
        <v>5975287594</v>
      </c>
      <c r="J6" s="4">
        <v>7116875087</v>
      </c>
      <c r="K6" s="4">
        <v>7767575502</v>
      </c>
      <c r="L6" s="4">
        <v>8786721985</v>
      </c>
      <c r="M6" s="4">
        <v>10009666263</v>
      </c>
      <c r="N6" s="4">
        <v>11377602758</v>
      </c>
      <c r="O6" s="5">
        <v>13787043021</v>
      </c>
      <c r="P6" s="4">
        <v>3329064347</v>
      </c>
      <c r="Q6" s="4">
        <v>3621133617</v>
      </c>
      <c r="R6" s="4">
        <v>3663906442</v>
      </c>
      <c r="S6" s="4">
        <v>3400069878</v>
      </c>
    </row>
    <row r="7" spans="1:19" ht="16" x14ac:dyDescent="0.2">
      <c r="A7" s="34" t="s">
        <v>22</v>
      </c>
      <c r="B7" s="30">
        <v>2622986008</v>
      </c>
      <c r="C7" s="30">
        <v>3052902001</v>
      </c>
      <c r="D7" s="30">
        <v>2643638756</v>
      </c>
      <c r="E7" s="30">
        <v>2874359265</v>
      </c>
      <c r="F7" s="30">
        <v>3021950360</v>
      </c>
      <c r="G7" s="30">
        <v>3145585300</v>
      </c>
      <c r="H7" s="30">
        <v>3211193042</v>
      </c>
      <c r="I7" s="30">
        <v>4895290475</v>
      </c>
      <c r="J7" s="30">
        <v>5393698977</v>
      </c>
      <c r="K7" s="30">
        <v>5500353577</v>
      </c>
      <c r="L7" s="30">
        <v>8316754163</v>
      </c>
      <c r="M7" s="30">
        <v>11154830309</v>
      </c>
      <c r="N7" s="30">
        <v>11219650165</v>
      </c>
      <c r="O7" s="31">
        <v>14536320424</v>
      </c>
      <c r="P7" s="30">
        <v>3533548920</v>
      </c>
      <c r="Q7" s="30">
        <v>3708266805</v>
      </c>
      <c r="R7" s="30">
        <v>3866505205</v>
      </c>
      <c r="S7" s="30">
        <v>3664969138</v>
      </c>
    </row>
    <row r="8" spans="1:19" ht="16" x14ac:dyDescent="0.2">
      <c r="A8" s="29" t="s">
        <v>58</v>
      </c>
      <c r="B8" s="32">
        <v>43.37</v>
      </c>
      <c r="C8" s="32">
        <v>41.62</v>
      </c>
      <c r="D8" s="32">
        <v>42.38</v>
      </c>
      <c r="E8" s="32">
        <v>39.770000000000003</v>
      </c>
      <c r="F8" s="32">
        <v>42.64</v>
      </c>
      <c r="G8" s="32">
        <v>46.06</v>
      </c>
      <c r="H8" s="32">
        <v>44.81</v>
      </c>
      <c r="I8" s="32">
        <v>45.03</v>
      </c>
      <c r="J8" s="32">
        <v>43.11</v>
      </c>
      <c r="K8" s="32">
        <v>41.46</v>
      </c>
      <c r="L8" s="32">
        <v>48.63</v>
      </c>
      <c r="M8" s="32">
        <v>52.71</v>
      </c>
      <c r="N8" s="32">
        <v>49.65</v>
      </c>
      <c r="O8" s="33">
        <v>51.32</v>
      </c>
      <c r="P8" s="32">
        <v>51.49</v>
      </c>
      <c r="Q8" s="32">
        <v>50.59</v>
      </c>
      <c r="R8" s="32">
        <v>51.35</v>
      </c>
      <c r="S8" s="32">
        <v>51.87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945117452</v>
      </c>
      <c r="C10" s="4">
        <v>919396881</v>
      </c>
      <c r="D10" s="4">
        <v>1118523400</v>
      </c>
      <c r="E10" s="4">
        <v>1206112554</v>
      </c>
      <c r="F10" s="4">
        <v>1276145011</v>
      </c>
      <c r="G10" s="4">
        <v>1535804295</v>
      </c>
      <c r="H10" s="4">
        <v>1561666093</v>
      </c>
      <c r="I10" s="4">
        <v>2012896564</v>
      </c>
      <c r="J10" s="4">
        <v>2097670268</v>
      </c>
      <c r="K10" s="4">
        <v>2450862635</v>
      </c>
      <c r="L10" s="4">
        <v>3359517435</v>
      </c>
      <c r="M10" s="4">
        <v>3721612567</v>
      </c>
      <c r="N10" s="4">
        <v>3406333048</v>
      </c>
      <c r="O10" s="5">
        <v>5246212323</v>
      </c>
      <c r="P10" s="4">
        <v>1266502312</v>
      </c>
      <c r="Q10" s="4">
        <v>1312647356</v>
      </c>
      <c r="R10" s="4">
        <v>1397571436</v>
      </c>
      <c r="S10" s="4">
        <v>1354353051</v>
      </c>
    </row>
    <row r="11" spans="1:19" ht="16" x14ac:dyDescent="0.2">
      <c r="A11" s="29" t="s">
        <v>26</v>
      </c>
      <c r="B11" s="30">
        <v>242953542</v>
      </c>
      <c r="C11" s="30">
        <v>280470707</v>
      </c>
      <c r="D11" s="30">
        <v>341858932</v>
      </c>
      <c r="E11" s="30">
        <v>429001545</v>
      </c>
      <c r="F11" s="30">
        <v>385610048</v>
      </c>
      <c r="G11" s="30">
        <v>375532285</v>
      </c>
      <c r="H11" s="30">
        <v>395321121</v>
      </c>
      <c r="I11" s="30">
        <v>500252168</v>
      </c>
      <c r="J11" s="30">
        <v>557854545</v>
      </c>
      <c r="K11" s="30">
        <v>584260329</v>
      </c>
      <c r="L11" s="30">
        <v>666715610</v>
      </c>
      <c r="M11" s="30">
        <v>825154947</v>
      </c>
      <c r="N11" s="30">
        <v>970768099</v>
      </c>
      <c r="O11" s="31">
        <v>1174789044</v>
      </c>
      <c r="P11" s="30">
        <v>299256129</v>
      </c>
      <c r="Q11" s="30">
        <v>282802604</v>
      </c>
      <c r="R11" s="30">
        <v>306680196</v>
      </c>
      <c r="S11" s="30">
        <v>304708262</v>
      </c>
    </row>
    <row r="12" spans="1:19" ht="16" x14ac:dyDescent="0.2">
      <c r="A12" s="12" t="s">
        <v>192</v>
      </c>
      <c r="B12" s="11">
        <f t="shared" ref="B12:S12" si="2">B11/B2</f>
        <v>4.0173916847422567E-2</v>
      </c>
      <c r="C12" s="11">
        <f t="shared" si="2"/>
        <v>3.8232819271738626E-2</v>
      </c>
      <c r="D12" s="11">
        <f t="shared" si="2"/>
        <v>5.4802916702737299E-2</v>
      </c>
      <c r="E12" s="11">
        <f t="shared" si="2"/>
        <v>5.9354747508015365E-2</v>
      </c>
      <c r="F12" s="11">
        <f t="shared" si="2"/>
        <v>5.4415458855173973E-2</v>
      </c>
      <c r="G12" s="11">
        <f t="shared" si="2"/>
        <v>5.498298180771348E-2</v>
      </c>
      <c r="H12" s="11">
        <f t="shared" si="2"/>
        <v>5.5159828127089819E-2</v>
      </c>
      <c r="I12" s="11">
        <f t="shared" si="2"/>
        <v>4.6018911305792123E-2</v>
      </c>
      <c r="J12" s="11">
        <f t="shared" si="2"/>
        <v>4.459064325118961E-2</v>
      </c>
      <c r="K12" s="11">
        <f t="shared" si="2"/>
        <v>4.403553301507665E-2</v>
      </c>
      <c r="L12" s="11">
        <f t="shared" si="2"/>
        <v>3.8981292705106765E-2</v>
      </c>
      <c r="M12" s="11">
        <f t="shared" si="2"/>
        <v>3.898769546409412E-2</v>
      </c>
      <c r="N12" s="11">
        <f t="shared" si="2"/>
        <v>4.2959562487877898E-2</v>
      </c>
      <c r="O12" s="11">
        <f t="shared" si="2"/>
        <v>4.1477737849929988E-2</v>
      </c>
      <c r="P12" s="11">
        <f t="shared" si="2"/>
        <v>4.3606730753577815E-2</v>
      </c>
      <c r="Q12" s="11">
        <f t="shared" si="2"/>
        <v>3.8584684655942246E-2</v>
      </c>
      <c r="R12" s="11">
        <f t="shared" si="2"/>
        <v>4.0725555305091012E-2</v>
      </c>
      <c r="S12" s="11">
        <f t="shared" si="2"/>
        <v>4.3129027492531398E-2</v>
      </c>
    </row>
    <row r="13" spans="1:19" ht="16" x14ac:dyDescent="0.2">
      <c r="A13" s="29" t="s">
        <v>27</v>
      </c>
      <c r="B13" s="30">
        <v>702163910</v>
      </c>
      <c r="C13" s="30">
        <v>638926174</v>
      </c>
      <c r="D13" s="30">
        <v>776664468</v>
      </c>
      <c r="E13" s="30">
        <v>777111009</v>
      </c>
      <c r="F13" s="30">
        <v>890534964</v>
      </c>
      <c r="G13" s="30">
        <v>1160272010</v>
      </c>
      <c r="H13" s="30">
        <v>1166344972</v>
      </c>
      <c r="I13" s="30">
        <v>1512644397</v>
      </c>
      <c r="J13" s="30">
        <v>1539815722</v>
      </c>
      <c r="K13" s="30">
        <v>1866602307</v>
      </c>
      <c r="L13" s="30">
        <v>2692801825</v>
      </c>
      <c r="M13" s="30">
        <v>2896457620</v>
      </c>
      <c r="N13" s="30">
        <v>2435564949</v>
      </c>
      <c r="O13" s="31">
        <v>4071423279</v>
      </c>
      <c r="P13" s="30">
        <v>967246183</v>
      </c>
      <c r="Q13" s="30">
        <v>1029844751</v>
      </c>
      <c r="R13" s="30">
        <v>1090891240</v>
      </c>
      <c r="S13" s="30">
        <v>1049644790</v>
      </c>
    </row>
    <row r="14" spans="1:19" ht="16" x14ac:dyDescent="0.2">
      <c r="A14" s="13" t="s">
        <v>193</v>
      </c>
      <c r="B14" s="14">
        <v>0</v>
      </c>
      <c r="C14" s="14">
        <v>0</v>
      </c>
      <c r="D14" s="14">
        <v>0</v>
      </c>
      <c r="E14" s="14">
        <v>0</v>
      </c>
      <c r="F14" s="14">
        <v>0</v>
      </c>
      <c r="G14" s="14">
        <v>0</v>
      </c>
      <c r="H14" s="14">
        <v>0</v>
      </c>
      <c r="I14" s="14">
        <v>0</v>
      </c>
      <c r="J14" s="14">
        <v>0</v>
      </c>
      <c r="K14" s="14">
        <f t="shared" ref="K14:S14" si="3">K13/K2</f>
        <v>0.14068527920867402</v>
      </c>
      <c r="L14" s="14">
        <f t="shared" si="3"/>
        <v>0.15744178561706496</v>
      </c>
      <c r="M14" s="14">
        <f t="shared" si="3"/>
        <v>0.13685454837758473</v>
      </c>
      <c r="N14" s="14">
        <f t="shared" si="3"/>
        <v>0.10778146163603039</v>
      </c>
      <c r="O14" s="14">
        <f t="shared" si="3"/>
        <v>0.14374787397358837</v>
      </c>
      <c r="P14" s="14">
        <f t="shared" si="3"/>
        <v>0.14094429415848941</v>
      </c>
      <c r="Q14" s="14">
        <f t="shared" si="3"/>
        <v>0.14050873082453075</v>
      </c>
      <c r="R14" s="14">
        <f t="shared" si="3"/>
        <v>0.14486475522684</v>
      </c>
      <c r="S14" s="14">
        <f t="shared" si="3"/>
        <v>0.14856885963040395</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34" t="s">
        <v>29</v>
      </c>
      <c r="B16" s="30">
        <v>1677868556</v>
      </c>
      <c r="C16" s="30">
        <v>2133505120</v>
      </c>
      <c r="D16" s="30">
        <v>1525115357</v>
      </c>
      <c r="E16" s="30">
        <v>1668246712</v>
      </c>
      <c r="F16" s="30">
        <v>1745805349</v>
      </c>
      <c r="G16" s="30">
        <v>1609781005</v>
      </c>
      <c r="H16" s="30">
        <v>1649526950</v>
      </c>
      <c r="I16" s="30">
        <v>2882393911</v>
      </c>
      <c r="J16" s="30">
        <v>3296028710</v>
      </c>
      <c r="K16" s="30">
        <v>3049490941</v>
      </c>
      <c r="L16" s="30">
        <v>4957236729</v>
      </c>
      <c r="M16" s="30">
        <v>7433217742</v>
      </c>
      <c r="N16" s="30">
        <v>7813317117</v>
      </c>
      <c r="O16" s="31">
        <v>9290108101</v>
      </c>
      <c r="P16" s="30">
        <v>2267046608</v>
      </c>
      <c r="Q16" s="30">
        <v>2395619450</v>
      </c>
      <c r="R16" s="30">
        <v>2468933769</v>
      </c>
      <c r="S16" s="30">
        <v>2310616087</v>
      </c>
    </row>
    <row r="17" spans="1:19" ht="16" x14ac:dyDescent="0.2">
      <c r="A17" s="29" t="s">
        <v>59</v>
      </c>
      <c r="B17" s="32">
        <v>27.74</v>
      </c>
      <c r="C17" s="32">
        <v>29.08</v>
      </c>
      <c r="D17" s="32">
        <v>24.45</v>
      </c>
      <c r="E17" s="32">
        <v>23.08</v>
      </c>
      <c r="F17" s="32">
        <v>24.64</v>
      </c>
      <c r="G17" s="32">
        <v>23.57</v>
      </c>
      <c r="H17" s="32">
        <v>23.02</v>
      </c>
      <c r="I17" s="32">
        <v>26.52</v>
      </c>
      <c r="J17" s="32">
        <v>26.35</v>
      </c>
      <c r="K17" s="32">
        <v>22.98</v>
      </c>
      <c r="L17" s="32">
        <v>28.98</v>
      </c>
      <c r="M17" s="32">
        <v>35.119999999999997</v>
      </c>
      <c r="N17" s="32">
        <v>34.58</v>
      </c>
      <c r="O17" s="33">
        <v>32.799999999999997</v>
      </c>
      <c r="P17" s="32">
        <v>33.03</v>
      </c>
      <c r="Q17" s="32">
        <v>32.69</v>
      </c>
      <c r="R17" s="32">
        <v>32.79</v>
      </c>
      <c r="S17" s="32">
        <v>32.700000000000003</v>
      </c>
    </row>
    <row r="18" spans="1:19" ht="16" x14ac:dyDescent="0.2">
      <c r="A18" s="15" t="s">
        <v>194</v>
      </c>
      <c r="B18" s="10"/>
      <c r="C18" s="11">
        <f>(C16/B16)-1</f>
        <v>0.27155676907506221</v>
      </c>
      <c r="D18" s="11">
        <f>(D16/C16)-1</f>
        <v>-0.28515973891827362</v>
      </c>
      <c r="E18" s="11">
        <f>(E16/D16)-1</f>
        <v>9.3849527082035644E-2</v>
      </c>
      <c r="F18" s="11">
        <f t="shared" ref="F18:O18" si="4">(F16/E16)-1</f>
        <v>4.6491107365659312E-2</v>
      </c>
      <c r="G18" s="11">
        <f t="shared" si="4"/>
        <v>-7.79149543091473E-2</v>
      </c>
      <c r="H18" s="11">
        <f t="shared" si="4"/>
        <v>2.4690280775179207E-2</v>
      </c>
      <c r="I18" s="11">
        <f t="shared" si="4"/>
        <v>0.74740637671909504</v>
      </c>
      <c r="J18" s="11">
        <f t="shared" si="4"/>
        <v>0.14350391090595105</v>
      </c>
      <c r="K18" s="11">
        <f t="shared" si="4"/>
        <v>-7.4798428864413569E-2</v>
      </c>
      <c r="L18" s="11">
        <f t="shared" si="4"/>
        <v>0.62559483694495088</v>
      </c>
      <c r="M18" s="11">
        <f t="shared" si="4"/>
        <v>0.49946797951274524</v>
      </c>
      <c r="N18" s="11">
        <f t="shared" si="4"/>
        <v>5.113524024088778E-2</v>
      </c>
      <c r="O18" s="11">
        <f t="shared" si="4"/>
        <v>0.18900947726629957</v>
      </c>
      <c r="P18" s="11"/>
      <c r="Q18" s="11">
        <f t="shared" ref="Q18:S18" si="5">(Q16/P16)-1</f>
        <v>5.6713806212139506E-2</v>
      </c>
      <c r="R18" s="11">
        <f t="shared" si="5"/>
        <v>3.0603491301592234E-2</v>
      </c>
      <c r="S18" s="11">
        <f t="shared" si="5"/>
        <v>-6.4123908056117673E-2</v>
      </c>
    </row>
    <row r="19" spans="1:19" ht="16" x14ac:dyDescent="0.2">
      <c r="A19" s="3" t="s">
        <v>30</v>
      </c>
      <c r="B19" s="4">
        <v>11000657</v>
      </c>
      <c r="C19" s="4">
        <v>-22466995</v>
      </c>
      <c r="D19" s="4">
        <v>8174028</v>
      </c>
      <c r="E19" s="4">
        <v>-62879623</v>
      </c>
      <c r="F19" s="4">
        <v>-101183432</v>
      </c>
      <c r="G19" s="4">
        <v>-72455897</v>
      </c>
      <c r="H19" s="4">
        <v>-134480904</v>
      </c>
      <c r="I19" s="4">
        <v>-54636279</v>
      </c>
      <c r="J19" s="4">
        <v>32350991</v>
      </c>
      <c r="K19" s="4">
        <v>28062456</v>
      </c>
      <c r="L19" s="4">
        <v>42702101</v>
      </c>
      <c r="M19" s="4">
        <v>-192301132</v>
      </c>
      <c r="N19" s="4">
        <v>47599227</v>
      </c>
      <c r="O19" s="5">
        <v>-34832876</v>
      </c>
      <c r="P19" s="4">
        <v>3308466</v>
      </c>
      <c r="Q19" s="4">
        <v>-13254675</v>
      </c>
      <c r="R19" s="4">
        <v>-18219706</v>
      </c>
      <c r="S19" s="4">
        <v>-7517125</v>
      </c>
    </row>
    <row r="20" spans="1:19" ht="16" x14ac:dyDescent="0.2">
      <c r="A20" s="3" t="s">
        <v>31</v>
      </c>
      <c r="B20" s="4">
        <v>-9290189</v>
      </c>
      <c r="C20" s="4">
        <v>-22466995</v>
      </c>
      <c r="D20" s="4">
        <v>8168754</v>
      </c>
      <c r="E20" s="4">
        <v>25937001</v>
      </c>
      <c r="F20" s="4">
        <v>-3161869</v>
      </c>
      <c r="G20" s="4">
        <v>-17923872</v>
      </c>
      <c r="H20" s="4" t="s">
        <v>24</v>
      </c>
      <c r="I20" s="4">
        <v>-60400106</v>
      </c>
      <c r="J20" s="4">
        <v>32350991</v>
      </c>
      <c r="K20" s="4">
        <v>28062456</v>
      </c>
      <c r="L20" s="4">
        <v>42824457</v>
      </c>
      <c r="M20" s="4">
        <v>50719281</v>
      </c>
      <c r="N20" s="4">
        <v>47599227</v>
      </c>
      <c r="O20" s="5">
        <v>20433876</v>
      </c>
      <c r="P20" s="4">
        <v>20597872</v>
      </c>
      <c r="Q20" s="4" t="s">
        <v>24</v>
      </c>
      <c r="R20" s="4" t="s">
        <v>24</v>
      </c>
      <c r="S20" s="4" t="s">
        <v>24</v>
      </c>
    </row>
    <row r="21" spans="1:19" ht="16" x14ac:dyDescent="0.2">
      <c r="A21" s="3" t="s">
        <v>32</v>
      </c>
      <c r="B21" s="4">
        <v>11000657</v>
      </c>
      <c r="C21" s="4">
        <v>34220399</v>
      </c>
      <c r="D21" s="4">
        <v>30034278</v>
      </c>
      <c r="E21" s="4">
        <v>38596153</v>
      </c>
      <c r="F21" s="4">
        <v>14415363</v>
      </c>
      <c r="G21" s="4">
        <v>-17923872</v>
      </c>
      <c r="H21" s="4" t="s">
        <v>24</v>
      </c>
      <c r="I21" s="4">
        <v>-60400106</v>
      </c>
      <c r="J21" s="4">
        <v>47783443</v>
      </c>
      <c r="K21" s="4">
        <v>41083435</v>
      </c>
      <c r="L21" s="4">
        <v>53102326</v>
      </c>
      <c r="M21" s="4">
        <v>62091318</v>
      </c>
      <c r="N21" s="4">
        <v>64888633</v>
      </c>
      <c r="O21" s="5">
        <v>20433876</v>
      </c>
      <c r="P21" s="4">
        <v>20597872</v>
      </c>
      <c r="Q21" s="4" t="s">
        <v>24</v>
      </c>
      <c r="R21" s="4" t="s">
        <v>24</v>
      </c>
      <c r="S21" s="4" t="s">
        <v>24</v>
      </c>
    </row>
    <row r="22" spans="1:19" ht="16" x14ac:dyDescent="0.2">
      <c r="A22" s="3" t="s">
        <v>33</v>
      </c>
      <c r="B22" s="4">
        <v>20290847</v>
      </c>
      <c r="C22" s="4">
        <v>56687394</v>
      </c>
      <c r="D22" s="4">
        <v>21865524</v>
      </c>
      <c r="E22" s="4">
        <v>12659152</v>
      </c>
      <c r="F22" s="4">
        <v>17577232</v>
      </c>
      <c r="G22" s="4" t="s">
        <v>24</v>
      </c>
      <c r="H22" s="4" t="s">
        <v>24</v>
      </c>
      <c r="I22" s="4" t="s">
        <v>24</v>
      </c>
      <c r="J22" s="4">
        <v>15432452</v>
      </c>
      <c r="K22" s="4">
        <v>13020979</v>
      </c>
      <c r="L22" s="4">
        <v>10277870</v>
      </c>
      <c r="M22" s="4">
        <v>11372036</v>
      </c>
      <c r="N22" s="4">
        <v>17289405</v>
      </c>
      <c r="O22" s="5" t="s">
        <v>24</v>
      </c>
      <c r="P22" s="4" t="s">
        <v>24</v>
      </c>
      <c r="Q22" s="4" t="s">
        <v>24</v>
      </c>
      <c r="R22" s="4" t="s">
        <v>24</v>
      </c>
      <c r="S22" s="4" t="s">
        <v>24</v>
      </c>
    </row>
    <row r="23" spans="1:19" ht="16" x14ac:dyDescent="0.2">
      <c r="A23" s="3" t="s">
        <v>34</v>
      </c>
      <c r="B23" s="4">
        <v>20290847</v>
      </c>
      <c r="C23" s="4" t="s">
        <v>24</v>
      </c>
      <c r="D23" s="4">
        <v>5274</v>
      </c>
      <c r="E23" s="4">
        <v>-88816624</v>
      </c>
      <c r="F23" s="4">
        <v>-98021563</v>
      </c>
      <c r="G23" s="4">
        <v>-54532024</v>
      </c>
      <c r="H23" s="4">
        <v>-134480904</v>
      </c>
      <c r="I23" s="4">
        <v>5763827</v>
      </c>
      <c r="J23" s="4" t="s">
        <v>24</v>
      </c>
      <c r="K23" s="4" t="s">
        <v>24</v>
      </c>
      <c r="L23" s="4">
        <v>-122356</v>
      </c>
      <c r="M23" s="4">
        <v>-243020414</v>
      </c>
      <c r="N23" s="4" t="s">
        <v>24</v>
      </c>
      <c r="O23" s="5">
        <v>-55266752</v>
      </c>
      <c r="P23" s="4">
        <v>-17289405</v>
      </c>
      <c r="Q23" s="4">
        <v>-13254675</v>
      </c>
      <c r="R23" s="4">
        <v>-18219706</v>
      </c>
      <c r="S23" s="4">
        <v>-7517125</v>
      </c>
    </row>
    <row r="24" spans="1:19" ht="16" x14ac:dyDescent="0.2">
      <c r="A24" s="3" t="s">
        <v>35</v>
      </c>
      <c r="B24" s="4">
        <v>1666867898</v>
      </c>
      <c r="C24" s="4">
        <v>2155972114</v>
      </c>
      <c r="D24" s="4">
        <v>1516941329</v>
      </c>
      <c r="E24" s="4">
        <v>1731126335</v>
      </c>
      <c r="F24" s="4">
        <v>1846988781</v>
      </c>
      <c r="G24" s="4">
        <v>1682236902</v>
      </c>
      <c r="H24" s="4">
        <v>1784007854</v>
      </c>
      <c r="I24" s="4">
        <v>2937030189</v>
      </c>
      <c r="J24" s="4">
        <v>3263677719</v>
      </c>
      <c r="K24" s="4">
        <v>3021428486</v>
      </c>
      <c r="L24" s="4">
        <v>4914534628</v>
      </c>
      <c r="M24" s="4">
        <v>7625518874</v>
      </c>
      <c r="N24" s="4">
        <v>7765717890</v>
      </c>
      <c r="O24" s="5">
        <v>9324940977</v>
      </c>
      <c r="P24" s="4">
        <v>2263738142</v>
      </c>
      <c r="Q24" s="4">
        <v>2408874124</v>
      </c>
      <c r="R24" s="4">
        <v>2487153475</v>
      </c>
      <c r="S24" s="4">
        <v>2318133213</v>
      </c>
    </row>
    <row r="25" spans="1:19" ht="16" x14ac:dyDescent="0.2">
      <c r="A25" s="3" t="s">
        <v>36</v>
      </c>
      <c r="B25" s="4">
        <v>296078668</v>
      </c>
      <c r="C25" s="4">
        <v>216451391</v>
      </c>
      <c r="D25" s="4">
        <v>5669084</v>
      </c>
      <c r="E25" s="4">
        <v>86078653</v>
      </c>
      <c r="F25" s="4">
        <v>130746240</v>
      </c>
      <c r="G25" s="4">
        <v>175328061</v>
      </c>
      <c r="H25" s="4">
        <v>231518106</v>
      </c>
      <c r="I25" s="4">
        <v>373087730</v>
      </c>
      <c r="J25" s="4">
        <v>383753629</v>
      </c>
      <c r="K25" s="4">
        <v>144577772</v>
      </c>
      <c r="L25" s="4">
        <v>674791079</v>
      </c>
      <c r="M25" s="4">
        <v>1161539777</v>
      </c>
      <c r="N25" s="4">
        <v>1087098049</v>
      </c>
      <c r="O25" s="5">
        <v>1490190681</v>
      </c>
      <c r="P25" s="4">
        <v>381327442</v>
      </c>
      <c r="Q25" s="4">
        <v>328759386</v>
      </c>
      <c r="R25" s="4">
        <v>440655037</v>
      </c>
      <c r="S25" s="4">
        <v>363892389</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1370789230</v>
      </c>
      <c r="C27" s="4">
        <v>1939520724</v>
      </c>
      <c r="D27" s="4">
        <v>1511272245</v>
      </c>
      <c r="E27" s="4">
        <v>1645047682</v>
      </c>
      <c r="F27" s="4">
        <v>1716242541</v>
      </c>
      <c r="G27" s="4">
        <v>1506908840</v>
      </c>
      <c r="H27" s="4">
        <v>1552489748</v>
      </c>
      <c r="I27" s="4">
        <v>2563942459</v>
      </c>
      <c r="J27" s="4">
        <v>2879924090</v>
      </c>
      <c r="K27" s="4">
        <v>2876850714</v>
      </c>
      <c r="L27" s="4">
        <v>4239743549</v>
      </c>
      <c r="M27" s="4">
        <v>6463979096</v>
      </c>
      <c r="N27" s="4">
        <v>6825899962</v>
      </c>
      <c r="O27" s="5">
        <v>7940942925</v>
      </c>
      <c r="P27" s="4">
        <v>1882410700</v>
      </c>
      <c r="Q27" s="4">
        <v>2080114738</v>
      </c>
      <c r="R27" s="4">
        <v>2046498438</v>
      </c>
      <c r="S27" s="4">
        <v>2004637326</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1370789230</v>
      </c>
      <c r="C31" s="4">
        <v>1939520724</v>
      </c>
      <c r="D31" s="4">
        <v>1511272245</v>
      </c>
      <c r="E31" s="4">
        <v>1645047682</v>
      </c>
      <c r="F31" s="4">
        <v>1716242541</v>
      </c>
      <c r="G31" s="4">
        <v>1506908840</v>
      </c>
      <c r="H31" s="4">
        <v>1552489748</v>
      </c>
      <c r="I31" s="4">
        <v>2563942459</v>
      </c>
      <c r="J31" s="4">
        <v>2879924090</v>
      </c>
      <c r="K31" s="4">
        <v>2876850714</v>
      </c>
      <c r="L31" s="4">
        <v>4239743549</v>
      </c>
      <c r="M31" s="4">
        <v>6463979096</v>
      </c>
      <c r="N31" s="4">
        <v>6825899962</v>
      </c>
      <c r="O31" s="5">
        <v>7940942925</v>
      </c>
      <c r="P31" s="4">
        <v>1882410700</v>
      </c>
      <c r="Q31" s="4">
        <v>2080114738</v>
      </c>
      <c r="R31" s="4">
        <v>2046498438</v>
      </c>
      <c r="S31" s="4">
        <v>2004637326</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34" t="s">
        <v>44</v>
      </c>
      <c r="B33" s="30">
        <v>1370789230</v>
      </c>
      <c r="C33" s="30">
        <v>1939520724</v>
      </c>
      <c r="D33" s="30">
        <v>1511272245</v>
      </c>
      <c r="E33" s="30">
        <v>1645047682</v>
      </c>
      <c r="F33" s="30">
        <v>1716242541</v>
      </c>
      <c r="G33" s="30">
        <v>1506908840</v>
      </c>
      <c r="H33" s="30">
        <v>1552489748</v>
      </c>
      <c r="I33" s="30">
        <v>2563942459</v>
      </c>
      <c r="J33" s="30">
        <v>2879924090</v>
      </c>
      <c r="K33" s="30">
        <v>2876850714</v>
      </c>
      <c r="L33" s="30">
        <v>4239743549</v>
      </c>
      <c r="M33" s="30">
        <v>6463979096</v>
      </c>
      <c r="N33" s="30">
        <v>6825899962</v>
      </c>
      <c r="O33" s="31">
        <v>7940942925</v>
      </c>
      <c r="P33" s="30">
        <v>1882410700</v>
      </c>
      <c r="Q33" s="30">
        <v>2080114738</v>
      </c>
      <c r="R33" s="30">
        <v>2046498438</v>
      </c>
      <c r="S33" s="30">
        <v>2004637326</v>
      </c>
    </row>
    <row r="34" spans="1:19" ht="16" x14ac:dyDescent="0.2">
      <c r="A34" s="29" t="s">
        <v>60</v>
      </c>
      <c r="B34" s="32">
        <v>22.67</v>
      </c>
      <c r="C34" s="32">
        <v>26.44</v>
      </c>
      <c r="D34" s="32">
        <v>24.23</v>
      </c>
      <c r="E34" s="32">
        <v>22.76</v>
      </c>
      <c r="F34" s="32">
        <v>24.22</v>
      </c>
      <c r="G34" s="32">
        <v>22.06</v>
      </c>
      <c r="H34" s="32">
        <v>21.66</v>
      </c>
      <c r="I34" s="32">
        <v>23.59</v>
      </c>
      <c r="J34" s="32">
        <v>23.02</v>
      </c>
      <c r="K34" s="32">
        <v>21.68</v>
      </c>
      <c r="L34" s="32">
        <v>24.79</v>
      </c>
      <c r="M34" s="32">
        <v>30.54</v>
      </c>
      <c r="N34" s="32">
        <v>30.21</v>
      </c>
      <c r="O34" s="33">
        <v>28.04</v>
      </c>
      <c r="P34" s="32">
        <v>27.43</v>
      </c>
      <c r="Q34" s="32">
        <v>28.38</v>
      </c>
      <c r="R34" s="32">
        <v>27.18</v>
      </c>
      <c r="S34" s="32">
        <v>28.37</v>
      </c>
    </row>
    <row r="35" spans="1:19" ht="16" x14ac:dyDescent="0.2">
      <c r="A35" s="16" t="s">
        <v>195</v>
      </c>
      <c r="B35" s="17"/>
      <c r="C35" s="14">
        <f>(C33/B33)-1</f>
        <v>0.41489346542356476</v>
      </c>
      <c r="D35" s="14">
        <f>(D33/C33)-1</f>
        <v>-0.22080118747934552</v>
      </c>
      <c r="E35" s="14">
        <f>(E33/D33)-1</f>
        <v>8.851842376024055E-2</v>
      </c>
      <c r="F35" s="14">
        <f t="shared" ref="F35:O35" si="6">(F33/E33)-1</f>
        <v>4.3278295078622575E-2</v>
      </c>
      <c r="G35" s="14">
        <f t="shared" si="6"/>
        <v>-0.12197209660006902</v>
      </c>
      <c r="H35" s="14">
        <f t="shared" si="6"/>
        <v>3.0247953154219909E-2</v>
      </c>
      <c r="I35" s="14">
        <f t="shared" si="6"/>
        <v>0.65150363298888592</v>
      </c>
      <c r="J35" s="14">
        <f t="shared" si="6"/>
        <v>0.12324053135078561</v>
      </c>
      <c r="K35" s="14">
        <f t="shared" si="6"/>
        <v>-1.0671725725936998E-3</v>
      </c>
      <c r="L35" s="14">
        <f t="shared" si="6"/>
        <v>0.47374471965735787</v>
      </c>
      <c r="M35" s="14">
        <f t="shared" si="6"/>
        <v>0.52461558613011294</v>
      </c>
      <c r="N35" s="14">
        <f t="shared" si="6"/>
        <v>5.5990414050683057E-2</v>
      </c>
      <c r="O35" s="14">
        <f t="shared" si="6"/>
        <v>0.16335471794305212</v>
      </c>
      <c r="P35" s="14"/>
      <c r="Q35" s="14">
        <f t="shared" ref="Q35:S35" si="7">(Q33/P33)-1</f>
        <v>0.10502704749818936</v>
      </c>
      <c r="R35" s="14">
        <f t="shared" si="7"/>
        <v>-1.6160791222661897E-2</v>
      </c>
      <c r="S35" s="14">
        <f t="shared" si="7"/>
        <v>-2.0454993379281583E-2</v>
      </c>
    </row>
    <row r="36" spans="1:19" ht="16" x14ac:dyDescent="0.2">
      <c r="A36" s="18" t="s">
        <v>196</v>
      </c>
      <c r="B36" s="19" t="e">
        <f t="shared" ref="B36:S36" si="8">(B16*(1-0.25))/(B126+B105+B96)</f>
        <v>#VALUE!</v>
      </c>
      <c r="C36" s="19">
        <f t="shared" si="8"/>
        <v>0.27683848947321388</v>
      </c>
      <c r="D36" s="19">
        <f t="shared" si="8"/>
        <v>0.1797609403752643</v>
      </c>
      <c r="E36" s="19">
        <f t="shared" si="8"/>
        <v>0.10539950618861235</v>
      </c>
      <c r="F36" s="19">
        <f t="shared" si="8"/>
        <v>0.11366130617899392</v>
      </c>
      <c r="G36" s="19">
        <f t="shared" si="8"/>
        <v>0.11676458638081584</v>
      </c>
      <c r="H36" s="19">
        <f t="shared" si="8"/>
        <v>8.9264568183693702E-2</v>
      </c>
      <c r="I36" s="19">
        <f t="shared" si="8"/>
        <v>0.13139437287395556</v>
      </c>
      <c r="J36" s="19">
        <f t="shared" si="8"/>
        <v>0.1351938014047232</v>
      </c>
      <c r="K36" s="19">
        <f t="shared" si="8"/>
        <v>0.11976875729640252</v>
      </c>
      <c r="L36" s="19">
        <f t="shared" si="8"/>
        <v>0.16386381285134294</v>
      </c>
      <c r="M36" s="19">
        <f t="shared" si="8"/>
        <v>0.33293038228157096</v>
      </c>
      <c r="N36" s="19">
        <f t="shared" si="8"/>
        <v>0.35318466009016597</v>
      </c>
      <c r="O36" s="19">
        <f t="shared" si="8"/>
        <v>0.38107602329092682</v>
      </c>
      <c r="P36" s="19">
        <f t="shared" si="8"/>
        <v>0.10247710078385697</v>
      </c>
      <c r="Q36" s="19">
        <f t="shared" si="8"/>
        <v>0.11766014206215004</v>
      </c>
      <c r="R36" s="19">
        <f t="shared" si="8"/>
        <v>0.10706409259898363</v>
      </c>
      <c r="S36" s="19">
        <f t="shared" si="8"/>
        <v>9.4780424534696414E-2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1370789230</v>
      </c>
      <c r="C39" s="4">
        <v>1939520724</v>
      </c>
      <c r="D39" s="4">
        <v>1511272245</v>
      </c>
      <c r="E39" s="4">
        <v>1645047682</v>
      </c>
      <c r="F39" s="4">
        <v>1716242541</v>
      </c>
      <c r="G39" s="4">
        <v>1506908840</v>
      </c>
      <c r="H39" s="4">
        <v>1552489748</v>
      </c>
      <c r="I39" s="4">
        <v>2563942459</v>
      </c>
      <c r="J39" s="4">
        <v>2879924090</v>
      </c>
      <c r="K39" s="4">
        <v>2876850714</v>
      </c>
      <c r="L39" s="4">
        <v>4239743549</v>
      </c>
      <c r="M39" s="4">
        <v>6463979096</v>
      </c>
      <c r="N39" s="4">
        <v>6825899962</v>
      </c>
      <c r="O39" s="5">
        <v>7940942925</v>
      </c>
      <c r="P39" s="4">
        <v>1882410700</v>
      </c>
      <c r="Q39" s="4">
        <v>2080114738</v>
      </c>
      <c r="R39" s="4">
        <v>2046498438</v>
      </c>
      <c r="S39" s="4">
        <v>2004637326</v>
      </c>
    </row>
    <row r="40" spans="1:19" ht="16" x14ac:dyDescent="0.2">
      <c r="A40" s="3" t="s">
        <v>48</v>
      </c>
      <c r="B40" s="4">
        <v>435146000</v>
      </c>
      <c r="C40" s="4">
        <v>425618000</v>
      </c>
      <c r="D40" s="4">
        <v>424096000</v>
      </c>
      <c r="E40" s="4">
        <v>429770000</v>
      </c>
      <c r="F40" s="4">
        <v>437142000</v>
      </c>
      <c r="G40" s="4">
        <v>430600000</v>
      </c>
      <c r="H40" s="4">
        <v>425600000</v>
      </c>
      <c r="I40" s="4">
        <v>429800000</v>
      </c>
      <c r="J40" s="4">
        <v>424900000</v>
      </c>
      <c r="K40" s="4">
        <v>420800000</v>
      </c>
      <c r="L40" s="4">
        <v>418300000</v>
      </c>
      <c r="M40" s="4">
        <v>409800000</v>
      </c>
      <c r="N40" s="4">
        <v>397700000</v>
      </c>
      <c r="O40" s="5">
        <v>393425000</v>
      </c>
      <c r="P40" s="4">
        <v>392000000</v>
      </c>
      <c r="Q40" s="4">
        <v>394500000</v>
      </c>
      <c r="R40" s="4">
        <v>393800000</v>
      </c>
      <c r="S40" s="4">
        <v>393400000</v>
      </c>
    </row>
    <row r="41" spans="1:19" ht="16" x14ac:dyDescent="0.2">
      <c r="A41" s="3" t="s">
        <v>49</v>
      </c>
      <c r="B41" s="6">
        <v>3.15</v>
      </c>
      <c r="C41" s="6">
        <v>4.5599999999999996</v>
      </c>
      <c r="D41" s="6">
        <v>3.56</v>
      </c>
      <c r="E41" s="6">
        <v>3.83</v>
      </c>
      <c r="F41" s="6">
        <v>3.92</v>
      </c>
      <c r="G41" s="6">
        <v>3.5</v>
      </c>
      <c r="H41" s="6">
        <v>3.65</v>
      </c>
      <c r="I41" s="6">
        <v>5.97</v>
      </c>
      <c r="J41" s="6">
        <v>6.78</v>
      </c>
      <c r="K41" s="6">
        <v>6.84</v>
      </c>
      <c r="L41" s="6">
        <v>10.130000000000001</v>
      </c>
      <c r="M41" s="6">
        <v>15.77</v>
      </c>
      <c r="N41" s="6">
        <v>17.16</v>
      </c>
      <c r="O41" s="7">
        <v>20.18</v>
      </c>
      <c r="P41" s="6">
        <v>4.8</v>
      </c>
      <c r="Q41" s="6">
        <v>5.27</v>
      </c>
      <c r="R41" s="6">
        <v>5.19</v>
      </c>
      <c r="S41" s="6">
        <v>5.09</v>
      </c>
    </row>
    <row r="42" spans="1:19" ht="16" x14ac:dyDescent="0.2">
      <c r="A42" s="3" t="s">
        <v>50</v>
      </c>
      <c r="B42" s="6">
        <v>3.15</v>
      </c>
      <c r="C42" s="6">
        <v>4.5599999999999996</v>
      </c>
      <c r="D42" s="6">
        <v>3.56</v>
      </c>
      <c r="E42" s="6">
        <v>3.83</v>
      </c>
      <c r="F42" s="6">
        <v>3.92</v>
      </c>
      <c r="G42" s="6">
        <v>3.5</v>
      </c>
      <c r="H42" s="6">
        <v>3.65</v>
      </c>
      <c r="I42" s="6">
        <v>5.97</v>
      </c>
      <c r="J42" s="6">
        <v>6.78</v>
      </c>
      <c r="K42" s="6">
        <v>6.84</v>
      </c>
      <c r="L42" s="6">
        <v>10.130000000000001</v>
      </c>
      <c r="M42" s="6">
        <v>15.77</v>
      </c>
      <c r="N42" s="6">
        <v>17.16</v>
      </c>
      <c r="O42" s="7">
        <v>20.18</v>
      </c>
      <c r="P42" s="6">
        <v>4.8</v>
      </c>
      <c r="Q42" s="6">
        <v>5.27</v>
      </c>
      <c r="R42" s="6">
        <v>5.19</v>
      </c>
      <c r="S42" s="6">
        <v>5.09</v>
      </c>
    </row>
    <row r="43" spans="1:19" ht="16" x14ac:dyDescent="0.2">
      <c r="A43" s="3" t="s">
        <v>51</v>
      </c>
      <c r="B43" s="4">
        <v>438974000</v>
      </c>
      <c r="C43" s="4">
        <v>429053000</v>
      </c>
      <c r="D43" s="4">
        <v>426986000</v>
      </c>
      <c r="E43" s="4">
        <v>433446000</v>
      </c>
      <c r="F43" s="4">
        <v>439693000</v>
      </c>
      <c r="G43" s="4">
        <v>432600000</v>
      </c>
      <c r="H43" s="4">
        <v>427700000</v>
      </c>
      <c r="I43" s="4">
        <v>431600000</v>
      </c>
      <c r="J43" s="4">
        <v>426400000</v>
      </c>
      <c r="K43" s="4">
        <v>421600000</v>
      </c>
      <c r="L43" s="4">
        <v>419100000</v>
      </c>
      <c r="M43" s="4">
        <v>410400000</v>
      </c>
      <c r="N43" s="4">
        <v>398000000</v>
      </c>
      <c r="O43" s="5">
        <v>393700000</v>
      </c>
      <c r="P43" s="4">
        <v>392300000</v>
      </c>
      <c r="Q43" s="4">
        <v>394800000</v>
      </c>
      <c r="R43" s="4">
        <v>394000000</v>
      </c>
      <c r="S43" s="4">
        <v>393700000</v>
      </c>
    </row>
    <row r="44" spans="1:19" ht="16" x14ac:dyDescent="0.2">
      <c r="A44" s="3" t="s">
        <v>52</v>
      </c>
      <c r="B44" s="6">
        <v>3.13</v>
      </c>
      <c r="C44" s="6">
        <v>4.5199999999999996</v>
      </c>
      <c r="D44" s="6">
        <v>3.53</v>
      </c>
      <c r="E44" s="6">
        <v>3.79</v>
      </c>
      <c r="F44" s="6">
        <v>3.91</v>
      </c>
      <c r="G44" s="6">
        <v>3.49</v>
      </c>
      <c r="H44" s="6">
        <v>3.63</v>
      </c>
      <c r="I44" s="6">
        <v>5.94</v>
      </c>
      <c r="J44" s="6">
        <v>6.76</v>
      </c>
      <c r="K44" s="6">
        <v>6.82</v>
      </c>
      <c r="L44" s="6">
        <v>10.119999999999999</v>
      </c>
      <c r="M44" s="6">
        <v>15.75</v>
      </c>
      <c r="N44" s="6">
        <v>17.149999999999999</v>
      </c>
      <c r="O44" s="7">
        <v>20.170000000000002</v>
      </c>
      <c r="P44" s="6">
        <v>4.8</v>
      </c>
      <c r="Q44" s="6">
        <v>5.27</v>
      </c>
      <c r="R44" s="6">
        <v>5.19</v>
      </c>
      <c r="S44" s="6">
        <v>5.09</v>
      </c>
    </row>
    <row r="45" spans="1:19" ht="16" x14ac:dyDescent="0.2">
      <c r="A45" s="3" t="s">
        <v>53</v>
      </c>
      <c r="B45" s="6">
        <v>3.13</v>
      </c>
      <c r="C45" s="6">
        <v>4.5199999999999996</v>
      </c>
      <c r="D45" s="6">
        <v>3.53</v>
      </c>
      <c r="E45" s="6">
        <v>3.79</v>
      </c>
      <c r="F45" s="6">
        <v>3.91</v>
      </c>
      <c r="G45" s="6">
        <v>3.49</v>
      </c>
      <c r="H45" s="6">
        <v>3.63</v>
      </c>
      <c r="I45" s="6">
        <v>5.94</v>
      </c>
      <c r="J45" s="6">
        <v>6.76</v>
      </c>
      <c r="K45" s="6">
        <v>6.82</v>
      </c>
      <c r="L45" s="6">
        <v>10.119999999999999</v>
      </c>
      <c r="M45" s="6">
        <v>15.75</v>
      </c>
      <c r="N45" s="6">
        <v>17.149999999999999</v>
      </c>
      <c r="O45" s="7">
        <v>20.170000000000002</v>
      </c>
      <c r="P45" s="6">
        <v>4.8</v>
      </c>
      <c r="Q45" s="6">
        <v>5.27</v>
      </c>
      <c r="R45" s="6">
        <v>5.19</v>
      </c>
      <c r="S45" s="6">
        <v>5.09</v>
      </c>
    </row>
    <row r="46" spans="1:19" ht="16" x14ac:dyDescent="0.2">
      <c r="A46" s="3" t="s">
        <v>54</v>
      </c>
      <c r="B46" s="4">
        <v>1880978254</v>
      </c>
      <c r="C46" s="4">
        <v>2478972646</v>
      </c>
      <c r="D46" s="4">
        <v>1771127222</v>
      </c>
      <c r="E46" s="4">
        <v>2110461341</v>
      </c>
      <c r="F46" s="4">
        <v>2173025493</v>
      </c>
      <c r="G46" s="4">
        <v>1932302080</v>
      </c>
      <c r="H46" s="4">
        <v>2025968007</v>
      </c>
      <c r="I46" s="4">
        <v>3383726796</v>
      </c>
      <c r="J46" s="4">
        <v>4134525245</v>
      </c>
      <c r="K46" s="4">
        <v>3979256225</v>
      </c>
      <c r="L46" s="4">
        <v>5557757965</v>
      </c>
      <c r="M46" s="4">
        <v>7968840647</v>
      </c>
      <c r="N46" s="4">
        <v>8748118984</v>
      </c>
      <c r="O46" s="5">
        <v>10042773504</v>
      </c>
      <c r="P46" s="4">
        <v>2462566305</v>
      </c>
      <c r="Q46" s="4">
        <v>2580641668</v>
      </c>
      <c r="R46" s="4">
        <v>2666623031</v>
      </c>
      <c r="S46" s="4">
        <v>2497167844</v>
      </c>
    </row>
    <row r="47" spans="1:19" ht="16" x14ac:dyDescent="0.2">
      <c r="A47" s="3" t="s">
        <v>55</v>
      </c>
      <c r="B47" s="6">
        <v>31.1</v>
      </c>
      <c r="C47" s="6">
        <v>33.79</v>
      </c>
      <c r="D47" s="6">
        <v>28.39</v>
      </c>
      <c r="E47" s="6">
        <v>29.2</v>
      </c>
      <c r="F47" s="6">
        <v>30.66</v>
      </c>
      <c r="G47" s="6">
        <v>28.29</v>
      </c>
      <c r="H47" s="6">
        <v>28.27</v>
      </c>
      <c r="I47" s="6">
        <v>31.13</v>
      </c>
      <c r="J47" s="6">
        <v>33.049999999999997</v>
      </c>
      <c r="K47" s="6">
        <v>29.99</v>
      </c>
      <c r="L47" s="6">
        <v>32.49</v>
      </c>
      <c r="M47" s="6">
        <v>37.65</v>
      </c>
      <c r="N47" s="6">
        <v>38.71</v>
      </c>
      <c r="O47" s="7">
        <v>35.46</v>
      </c>
      <c r="P47" s="6">
        <v>33.46</v>
      </c>
      <c r="Q47" s="6">
        <v>35.04</v>
      </c>
      <c r="R47" s="6">
        <v>35.590000000000003</v>
      </c>
      <c r="S47" s="6">
        <v>35.46</v>
      </c>
    </row>
    <row r="48" spans="1:19" ht="16" x14ac:dyDescent="0.2">
      <c r="A48" s="3" t="s">
        <v>56</v>
      </c>
      <c r="B48" s="4">
        <v>1677868556</v>
      </c>
      <c r="C48" s="4">
        <v>2133505120</v>
      </c>
      <c r="D48" s="4">
        <v>1525115357</v>
      </c>
      <c r="E48" s="4">
        <v>1668246712</v>
      </c>
      <c r="F48" s="4">
        <v>1745805349</v>
      </c>
      <c r="G48" s="4">
        <v>1609781005</v>
      </c>
      <c r="H48" s="4">
        <v>1649526950</v>
      </c>
      <c r="I48" s="4">
        <v>2882393911</v>
      </c>
      <c r="J48" s="4">
        <v>3296028710</v>
      </c>
      <c r="K48" s="4">
        <v>3049490941</v>
      </c>
      <c r="L48" s="4">
        <v>4957236729</v>
      </c>
      <c r="M48" s="4">
        <v>7433217742</v>
      </c>
      <c r="N48" s="4">
        <v>7813317117</v>
      </c>
      <c r="O48" s="5">
        <v>9290108101</v>
      </c>
      <c r="P48" s="4">
        <v>2267046608</v>
      </c>
      <c r="Q48" s="4">
        <v>2395619450</v>
      </c>
      <c r="R48" s="4">
        <v>2468933769</v>
      </c>
      <c r="S48" s="4">
        <v>2310616087</v>
      </c>
    </row>
    <row r="49" spans="1:19" ht="16" x14ac:dyDescent="0.2">
      <c r="A49" s="3" t="s">
        <v>57</v>
      </c>
      <c r="B49" s="4">
        <v>1677868556</v>
      </c>
      <c r="C49" s="4">
        <v>2133505120</v>
      </c>
      <c r="D49" s="4">
        <v>1525115357</v>
      </c>
      <c r="E49" s="4">
        <v>1668246712</v>
      </c>
      <c r="F49" s="4">
        <v>1745805349</v>
      </c>
      <c r="G49" s="4">
        <v>1609781005</v>
      </c>
      <c r="H49" s="4">
        <v>1649526950</v>
      </c>
      <c r="I49" s="4">
        <v>2882393911</v>
      </c>
      <c r="J49" s="4">
        <v>3296028710</v>
      </c>
      <c r="K49" s="4">
        <v>3049490941</v>
      </c>
      <c r="L49" s="4">
        <v>4957236729</v>
      </c>
      <c r="M49" s="4">
        <v>7433217742</v>
      </c>
      <c r="N49" s="4">
        <v>7813317117</v>
      </c>
      <c r="O49" s="5">
        <v>9290108101</v>
      </c>
      <c r="P49" s="4">
        <v>2267046608</v>
      </c>
      <c r="Q49" s="4">
        <v>2395619450</v>
      </c>
      <c r="R49" s="4">
        <v>2468933769</v>
      </c>
      <c r="S49" s="4">
        <v>2310616087</v>
      </c>
    </row>
    <row r="50" spans="1:19" ht="16" x14ac:dyDescent="0.2">
      <c r="A50" s="3" t="s">
        <v>61</v>
      </c>
      <c r="B50" s="4">
        <v>654142</v>
      </c>
      <c r="C50" s="4">
        <v>741746</v>
      </c>
      <c r="D50" s="4">
        <v>619214</v>
      </c>
      <c r="E50" s="4">
        <v>546522</v>
      </c>
      <c r="F50" s="4">
        <v>503582</v>
      </c>
      <c r="G50" s="4">
        <v>465226</v>
      </c>
      <c r="H50" s="4">
        <v>430518</v>
      </c>
      <c r="I50" s="4">
        <v>565704</v>
      </c>
      <c r="J50" s="4">
        <v>538158</v>
      </c>
      <c r="K50" s="4">
        <v>532849</v>
      </c>
      <c r="L50" s="4">
        <v>609250</v>
      </c>
      <c r="M50" s="4">
        <v>661060</v>
      </c>
      <c r="N50" s="4">
        <v>578142</v>
      </c>
      <c r="O50" s="5">
        <v>724642</v>
      </c>
      <c r="P50" s="4">
        <v>175577</v>
      </c>
      <c r="Q50" s="4">
        <v>187520</v>
      </c>
      <c r="R50" s="4">
        <v>192663</v>
      </c>
      <c r="S50" s="4">
        <v>180756</v>
      </c>
    </row>
    <row r="51" spans="1:19" ht="16" x14ac:dyDescent="0.2">
      <c r="A51" s="3" t="s">
        <v>62</v>
      </c>
      <c r="B51" s="6">
        <v>0.27</v>
      </c>
      <c r="C51" s="6">
        <v>0.53</v>
      </c>
      <c r="D51" s="6">
        <v>0.59</v>
      </c>
      <c r="E51" s="6">
        <v>0.69</v>
      </c>
      <c r="F51" s="6">
        <v>0.74</v>
      </c>
      <c r="G51" s="6">
        <v>0.76</v>
      </c>
      <c r="H51" s="6">
        <v>1.1100000000000001</v>
      </c>
      <c r="I51" s="6">
        <v>1.44</v>
      </c>
      <c r="J51" s="6">
        <v>1.61</v>
      </c>
      <c r="K51" s="6">
        <v>3.54</v>
      </c>
      <c r="L51" s="6">
        <v>3.12</v>
      </c>
      <c r="M51" s="6">
        <v>3.8</v>
      </c>
      <c r="N51" s="6">
        <v>6.87</v>
      </c>
      <c r="O51" s="7">
        <v>6.24</v>
      </c>
      <c r="P51" s="6">
        <v>1.47</v>
      </c>
      <c r="Q51" s="6">
        <v>1.49</v>
      </c>
      <c r="R51" s="6">
        <v>1.84</v>
      </c>
      <c r="S51" s="6">
        <v>1.54</v>
      </c>
    </row>
    <row r="52" spans="1:19" ht="16" x14ac:dyDescent="0.2">
      <c r="A52" s="3" t="s">
        <v>63</v>
      </c>
      <c r="B52" s="4">
        <v>203109698</v>
      </c>
      <c r="C52" s="4">
        <v>345467527</v>
      </c>
      <c r="D52" s="4">
        <v>246011865</v>
      </c>
      <c r="E52" s="4">
        <v>442214630</v>
      </c>
      <c r="F52" s="4">
        <v>427220144</v>
      </c>
      <c r="G52" s="4">
        <v>322521075</v>
      </c>
      <c r="H52" s="4">
        <v>376441057</v>
      </c>
      <c r="I52" s="4">
        <v>501332885</v>
      </c>
      <c r="J52" s="4">
        <v>838496535</v>
      </c>
      <c r="K52" s="4">
        <v>929765284</v>
      </c>
      <c r="L52" s="4">
        <v>600521236</v>
      </c>
      <c r="M52" s="4">
        <v>535622905</v>
      </c>
      <c r="N52" s="4">
        <v>934801866</v>
      </c>
      <c r="O52" s="5">
        <v>752665403</v>
      </c>
      <c r="P52" s="4">
        <v>195519696</v>
      </c>
      <c r="Q52" s="4">
        <v>185022219</v>
      </c>
      <c r="R52" s="4">
        <v>197689262</v>
      </c>
      <c r="S52" s="4">
        <v>186551757</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6633262231</v>
      </c>
      <c r="C55" s="4">
        <v>7226245890</v>
      </c>
      <c r="D55" s="4">
        <v>7688727739</v>
      </c>
      <c r="E55" s="4">
        <v>9446874855</v>
      </c>
      <c r="F55" s="4">
        <v>8383903864</v>
      </c>
      <c r="G55" s="4">
        <v>8372729654</v>
      </c>
      <c r="H55" s="4">
        <v>9025936391</v>
      </c>
      <c r="I55" s="4">
        <v>10815581551</v>
      </c>
      <c r="J55" s="4">
        <v>11923569333</v>
      </c>
      <c r="K55" s="4">
        <v>13438436560</v>
      </c>
      <c r="L55" s="4">
        <v>19491245487</v>
      </c>
      <c r="M55" s="4">
        <v>20685961289</v>
      </c>
      <c r="N55" s="4">
        <v>24065998589</v>
      </c>
      <c r="O55" s="5">
        <v>22927973241</v>
      </c>
      <c r="P55" s="4">
        <v>24065998589</v>
      </c>
      <c r="Q55" s="4">
        <v>22881479413</v>
      </c>
      <c r="R55" s="4">
        <v>24436443815</v>
      </c>
      <c r="S55" s="4">
        <v>22927973241</v>
      </c>
    </row>
    <row r="56" spans="1:19" ht="16" x14ac:dyDescent="0.2">
      <c r="A56" s="3" t="s">
        <v>65</v>
      </c>
      <c r="B56" s="4">
        <v>2615741672</v>
      </c>
      <c r="C56" s="4">
        <v>3546249008</v>
      </c>
      <c r="D56" s="4">
        <v>3556493072</v>
      </c>
      <c r="E56" s="4">
        <v>4148401600</v>
      </c>
      <c r="F56" s="4">
        <v>3332911021</v>
      </c>
      <c r="G56" s="4">
        <v>3702854789</v>
      </c>
      <c r="H56" s="4">
        <v>4279024160</v>
      </c>
      <c r="I56" s="4">
        <v>3948581860</v>
      </c>
      <c r="J56" s="4">
        <v>4611902413</v>
      </c>
      <c r="K56" s="4">
        <v>5296058899</v>
      </c>
      <c r="L56" s="4">
        <v>8995093554</v>
      </c>
      <c r="M56" s="4">
        <v>8631716637</v>
      </c>
      <c r="N56" s="4">
        <v>7872015716</v>
      </c>
      <c r="O56" s="5">
        <v>5273528074</v>
      </c>
      <c r="P56" s="4">
        <v>7872015716</v>
      </c>
      <c r="Q56" s="4">
        <v>7227600176</v>
      </c>
      <c r="R56" s="4">
        <v>6923924558</v>
      </c>
      <c r="S56" s="4">
        <v>5273528074</v>
      </c>
    </row>
    <row r="57" spans="1:19" ht="16" x14ac:dyDescent="0.2">
      <c r="A57" s="3" t="s">
        <v>66</v>
      </c>
      <c r="B57" s="4">
        <v>2615741672</v>
      </c>
      <c r="C57" s="4">
        <v>3546249008</v>
      </c>
      <c r="D57" s="4">
        <v>2330388921</v>
      </c>
      <c r="E57" s="4">
        <v>3211560942</v>
      </c>
      <c r="F57" s="4">
        <v>2927707793</v>
      </c>
      <c r="G57" s="4">
        <v>2670874254</v>
      </c>
      <c r="H57" s="4">
        <v>3066059141</v>
      </c>
      <c r="I57" s="4">
        <v>2712601168</v>
      </c>
      <c r="J57" s="4">
        <v>3567868486</v>
      </c>
      <c r="K57" s="4">
        <v>3965000498</v>
      </c>
      <c r="L57" s="4">
        <v>7401779061</v>
      </c>
      <c r="M57" s="4">
        <v>7905612126</v>
      </c>
      <c r="N57" s="4">
        <v>7757073187</v>
      </c>
      <c r="O57" s="5">
        <v>5267810824</v>
      </c>
      <c r="P57" s="4">
        <v>7757073187</v>
      </c>
      <c r="Q57" s="4">
        <v>7222385222</v>
      </c>
      <c r="R57" s="4">
        <v>6918360456</v>
      </c>
      <c r="S57" s="4">
        <v>5267810824</v>
      </c>
    </row>
    <row r="58" spans="1:19" ht="16" x14ac:dyDescent="0.2">
      <c r="A58" s="3" t="s">
        <v>67</v>
      </c>
      <c r="B58" s="4" t="s">
        <v>24</v>
      </c>
      <c r="C58" s="4" t="s">
        <v>24</v>
      </c>
      <c r="D58" s="4">
        <v>1226104151</v>
      </c>
      <c r="E58" s="4">
        <v>936840658</v>
      </c>
      <c r="F58" s="4">
        <v>405203228</v>
      </c>
      <c r="G58" s="4">
        <v>1031980535</v>
      </c>
      <c r="H58" s="4">
        <v>1212965019</v>
      </c>
      <c r="I58" s="4">
        <v>1235980692</v>
      </c>
      <c r="J58" s="4">
        <v>1044033927</v>
      </c>
      <c r="K58" s="4">
        <v>1331058401</v>
      </c>
      <c r="L58" s="4">
        <v>1593314493</v>
      </c>
      <c r="M58" s="4">
        <v>726104511</v>
      </c>
      <c r="N58" s="4">
        <v>114942529</v>
      </c>
      <c r="O58" s="5">
        <v>5717250</v>
      </c>
      <c r="P58" s="4">
        <v>114942529</v>
      </c>
      <c r="Q58" s="4">
        <v>5214954</v>
      </c>
      <c r="R58" s="4">
        <v>5564102</v>
      </c>
      <c r="S58" s="4">
        <v>5717250</v>
      </c>
    </row>
    <row r="59" spans="1:19" ht="16" x14ac:dyDescent="0.2">
      <c r="A59" s="3" t="s">
        <v>68</v>
      </c>
      <c r="B59" s="4">
        <v>1524127661</v>
      </c>
      <c r="C59" s="4">
        <v>1287221060</v>
      </c>
      <c r="D59" s="4">
        <v>1222940011</v>
      </c>
      <c r="E59" s="4">
        <v>1732365105</v>
      </c>
      <c r="F59" s="4">
        <v>1613712320</v>
      </c>
      <c r="G59" s="4">
        <v>1198509604</v>
      </c>
      <c r="H59" s="4">
        <v>1222668739</v>
      </c>
      <c r="I59" s="4">
        <v>2273109346</v>
      </c>
      <c r="J59" s="4">
        <v>2744575774</v>
      </c>
      <c r="K59" s="4">
        <v>3199681205</v>
      </c>
      <c r="L59" s="4">
        <v>3924310838</v>
      </c>
      <c r="M59" s="4">
        <v>5026667441</v>
      </c>
      <c r="N59" s="4">
        <v>7520891371</v>
      </c>
      <c r="O59" s="5">
        <v>6754295880</v>
      </c>
      <c r="P59" s="4">
        <v>7520891371</v>
      </c>
      <c r="Q59" s="4">
        <v>5751550932</v>
      </c>
      <c r="R59" s="4">
        <v>6984693277</v>
      </c>
      <c r="S59" s="4">
        <v>6754295880</v>
      </c>
    </row>
    <row r="60" spans="1:19" ht="16" x14ac:dyDescent="0.2">
      <c r="A60" s="3" t="s">
        <v>69</v>
      </c>
      <c r="B60" s="4">
        <v>1507224212</v>
      </c>
      <c r="C60" s="4">
        <v>1143181493</v>
      </c>
      <c r="D60" s="4">
        <v>798022411</v>
      </c>
      <c r="E60" s="4">
        <v>1210275316</v>
      </c>
      <c r="F60" s="4">
        <v>1273585749</v>
      </c>
      <c r="G60" s="4">
        <v>873055533</v>
      </c>
      <c r="H60" s="4">
        <v>738537483</v>
      </c>
      <c r="I60" s="4">
        <v>2128173108</v>
      </c>
      <c r="J60" s="4">
        <v>1712659180</v>
      </c>
      <c r="K60" s="4">
        <v>2005679837</v>
      </c>
      <c r="L60" s="4">
        <v>1603225296</v>
      </c>
      <c r="M60" s="4">
        <v>3443452561</v>
      </c>
      <c r="N60" s="4">
        <v>5681810910</v>
      </c>
      <c r="O60" s="5">
        <v>4140242031</v>
      </c>
      <c r="P60" s="4">
        <v>5681810910</v>
      </c>
      <c r="Q60" s="4">
        <v>3753354428</v>
      </c>
      <c r="R60" s="4">
        <v>4324288948</v>
      </c>
      <c r="S60" s="4">
        <v>4140242031</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16903449</v>
      </c>
      <c r="C63" s="4">
        <v>144039567</v>
      </c>
      <c r="D63" s="4">
        <v>424917600</v>
      </c>
      <c r="E63" s="4">
        <v>522089788</v>
      </c>
      <c r="F63" s="4">
        <v>340126571</v>
      </c>
      <c r="G63" s="4">
        <v>325454072</v>
      </c>
      <c r="H63" s="4">
        <v>484131255</v>
      </c>
      <c r="I63" s="4">
        <v>144936238</v>
      </c>
      <c r="J63" s="4">
        <v>1031916594</v>
      </c>
      <c r="K63" s="4">
        <v>1194001367</v>
      </c>
      <c r="L63" s="4">
        <v>2321085542</v>
      </c>
      <c r="M63" s="4">
        <v>1583214880</v>
      </c>
      <c r="N63" s="4">
        <v>1839080461</v>
      </c>
      <c r="O63" s="5">
        <v>2614053849</v>
      </c>
      <c r="P63" s="4">
        <v>1839080461</v>
      </c>
      <c r="Q63" s="4">
        <v>1998196504</v>
      </c>
      <c r="R63" s="4">
        <v>2660404329</v>
      </c>
      <c r="S63" s="4">
        <v>2614053849</v>
      </c>
    </row>
    <row r="64" spans="1:19" ht="16" x14ac:dyDescent="0.2">
      <c r="A64" s="3" t="s">
        <v>73</v>
      </c>
      <c r="B64" s="4">
        <v>2008559048</v>
      </c>
      <c r="C64" s="4">
        <v>2119452701</v>
      </c>
      <c r="D64" s="4">
        <v>2448253127</v>
      </c>
      <c r="E64" s="4">
        <v>3297445305</v>
      </c>
      <c r="F64" s="4">
        <v>3085438217</v>
      </c>
      <c r="G64" s="4">
        <v>2795798214</v>
      </c>
      <c r="H64" s="4">
        <v>2933160365</v>
      </c>
      <c r="I64" s="4">
        <v>3552438821</v>
      </c>
      <c r="J64" s="4">
        <v>3931845714</v>
      </c>
      <c r="K64" s="4">
        <v>4275820258</v>
      </c>
      <c r="L64" s="4">
        <v>5590916329</v>
      </c>
      <c r="M64" s="4">
        <v>5889804989</v>
      </c>
      <c r="N64" s="4">
        <v>7683860026</v>
      </c>
      <c r="O64" s="5">
        <v>8870737210</v>
      </c>
      <c r="P64" s="4">
        <v>7683860026</v>
      </c>
      <c r="Q64" s="4">
        <v>8031029012</v>
      </c>
      <c r="R64" s="4">
        <v>8438233030</v>
      </c>
      <c r="S64" s="4">
        <v>8870737210</v>
      </c>
    </row>
    <row r="65" spans="1:19" ht="16" x14ac:dyDescent="0.2">
      <c r="A65" s="3" t="s">
        <v>74</v>
      </c>
      <c r="B65" s="4">
        <v>334002764</v>
      </c>
      <c r="C65" s="4">
        <v>335845676</v>
      </c>
      <c r="D65" s="4">
        <v>405161502</v>
      </c>
      <c r="E65" s="4">
        <v>604713941</v>
      </c>
      <c r="F65" s="4">
        <v>552613109</v>
      </c>
      <c r="G65" s="4">
        <v>509199836</v>
      </c>
      <c r="H65" s="4">
        <v>711676109</v>
      </c>
      <c r="I65" s="4">
        <v>992819232</v>
      </c>
      <c r="J65" s="4">
        <v>1415555909</v>
      </c>
      <c r="K65" s="4">
        <v>2274518163</v>
      </c>
      <c r="L65" s="4">
        <v>2536920803</v>
      </c>
      <c r="M65" s="4">
        <v>3034400419</v>
      </c>
      <c r="N65" s="4">
        <v>3414017228</v>
      </c>
      <c r="O65" s="5" t="s">
        <v>24</v>
      </c>
      <c r="P65" s="4">
        <v>3414017228</v>
      </c>
      <c r="Q65" s="4" t="s">
        <v>24</v>
      </c>
      <c r="R65" s="4" t="s">
        <v>24</v>
      </c>
      <c r="S65" s="4" t="s">
        <v>24</v>
      </c>
    </row>
    <row r="66" spans="1:19" ht="16" x14ac:dyDescent="0.2">
      <c r="A66" s="3" t="s">
        <v>75</v>
      </c>
      <c r="B66" s="4">
        <v>1454142016</v>
      </c>
      <c r="C66" s="4">
        <v>1333028701</v>
      </c>
      <c r="D66" s="4">
        <v>1416007908</v>
      </c>
      <c r="E66" s="4">
        <v>2134595994</v>
      </c>
      <c r="F66" s="4">
        <v>1787298070</v>
      </c>
      <c r="G66" s="4">
        <v>1609223736</v>
      </c>
      <c r="H66" s="4">
        <v>1492951097</v>
      </c>
      <c r="I66" s="4">
        <v>1717980740</v>
      </c>
      <c r="J66" s="4">
        <v>1757584761</v>
      </c>
      <c r="K66" s="4">
        <v>1690370085</v>
      </c>
      <c r="L66" s="4">
        <v>2208518400</v>
      </c>
      <c r="M66" s="4">
        <v>1989992615</v>
      </c>
      <c r="N66" s="4">
        <v>2309416324</v>
      </c>
      <c r="O66" s="5" t="s">
        <v>24</v>
      </c>
      <c r="P66" s="4">
        <v>2309416324</v>
      </c>
      <c r="Q66" s="4" t="s">
        <v>24</v>
      </c>
      <c r="R66" s="4" t="s">
        <v>24</v>
      </c>
      <c r="S66" s="4" t="s">
        <v>24</v>
      </c>
    </row>
    <row r="67" spans="1:19" ht="16" x14ac:dyDescent="0.2">
      <c r="A67" s="3" t="s">
        <v>76</v>
      </c>
      <c r="B67" s="4">
        <v>474254437</v>
      </c>
      <c r="C67" s="4">
        <v>691334882</v>
      </c>
      <c r="D67" s="4">
        <v>979537243</v>
      </c>
      <c r="E67" s="4">
        <v>918602218</v>
      </c>
      <c r="F67" s="4">
        <v>1122315798</v>
      </c>
      <c r="G67" s="4">
        <v>1128237162</v>
      </c>
      <c r="H67" s="4">
        <v>1132175220</v>
      </c>
      <c r="I67" s="4">
        <v>1261797834</v>
      </c>
      <c r="J67" s="4">
        <v>1263174739</v>
      </c>
      <c r="K67" s="4">
        <v>865782885</v>
      </c>
      <c r="L67" s="4">
        <v>1424463779</v>
      </c>
      <c r="M67" s="4">
        <v>1340763068</v>
      </c>
      <c r="N67" s="4">
        <v>2458724215</v>
      </c>
      <c r="O67" s="5" t="s">
        <v>24</v>
      </c>
      <c r="P67" s="4">
        <v>2458724215</v>
      </c>
      <c r="Q67" s="4" t="s">
        <v>24</v>
      </c>
      <c r="R67" s="4" t="s">
        <v>24</v>
      </c>
      <c r="S67" s="4" t="s">
        <v>24</v>
      </c>
    </row>
    <row r="68" spans="1:19" ht="16" x14ac:dyDescent="0.2">
      <c r="A68" s="3" t="s">
        <v>77</v>
      </c>
      <c r="B68" s="4">
        <v>-253866999</v>
      </c>
      <c r="C68" s="4">
        <v>-240756559</v>
      </c>
      <c r="D68" s="4">
        <v>-352493078</v>
      </c>
      <c r="E68" s="4">
        <v>-360466848</v>
      </c>
      <c r="F68" s="4">
        <v>-376788761</v>
      </c>
      <c r="G68" s="4">
        <v>-450829930</v>
      </c>
      <c r="H68" s="4">
        <v>-403665265</v>
      </c>
      <c r="I68" s="4">
        <v>-420158986</v>
      </c>
      <c r="J68" s="4">
        <v>-504469694</v>
      </c>
      <c r="K68" s="4">
        <v>-554850875</v>
      </c>
      <c r="L68" s="4">
        <v>-578986652</v>
      </c>
      <c r="M68" s="4">
        <v>-475351113</v>
      </c>
      <c r="N68" s="4">
        <v>-498297741</v>
      </c>
      <c r="O68" s="5" t="s">
        <v>24</v>
      </c>
      <c r="P68" s="4">
        <v>-498297741</v>
      </c>
      <c r="Q68" s="4" t="s">
        <v>24</v>
      </c>
      <c r="R68" s="4" t="s">
        <v>24</v>
      </c>
      <c r="S68" s="4" t="s">
        <v>24</v>
      </c>
    </row>
    <row r="69" spans="1:19" ht="16" x14ac:dyDescent="0.2">
      <c r="A69" s="3" t="s">
        <v>78</v>
      </c>
      <c r="B69" s="4">
        <v>26831</v>
      </c>
      <c r="C69" s="4" t="s">
        <v>24</v>
      </c>
      <c r="D69" s="4">
        <v>39552</v>
      </c>
      <c r="E69" s="4" t="s">
        <v>24</v>
      </c>
      <c r="F69" s="4" t="s">
        <v>24</v>
      </c>
      <c r="G69" s="4">
        <v>-32589</v>
      </c>
      <c r="H69" s="4">
        <v>23205</v>
      </c>
      <c r="I69" s="4" t="s">
        <v>24</v>
      </c>
      <c r="J69" s="4" t="s">
        <v>24</v>
      </c>
      <c r="K69" s="4" t="s">
        <v>24</v>
      </c>
      <c r="L69" s="4" t="s">
        <v>24</v>
      </c>
      <c r="M69" s="4" t="s">
        <v>24</v>
      </c>
      <c r="N69" s="4" t="s">
        <v>24</v>
      </c>
      <c r="O69" s="5">
        <v>8870737210</v>
      </c>
      <c r="P69" s="4" t="s">
        <v>24</v>
      </c>
      <c r="Q69" s="4">
        <v>8031029012</v>
      </c>
      <c r="R69" s="4">
        <v>8438233030</v>
      </c>
      <c r="S69" s="4">
        <v>8870737210</v>
      </c>
    </row>
    <row r="70" spans="1:19" ht="16" x14ac:dyDescent="0.2">
      <c r="A70" s="3" t="s">
        <v>79</v>
      </c>
      <c r="B70" s="4">
        <v>484833850</v>
      </c>
      <c r="C70" s="4">
        <v>273323121</v>
      </c>
      <c r="D70" s="4">
        <v>461041529</v>
      </c>
      <c r="E70" s="4">
        <v>268662846</v>
      </c>
      <c r="F70" s="4">
        <v>351842305</v>
      </c>
      <c r="G70" s="4">
        <v>675567047</v>
      </c>
      <c r="H70" s="4">
        <v>591083127</v>
      </c>
      <c r="I70" s="4">
        <v>1041451524</v>
      </c>
      <c r="J70" s="4">
        <v>635245432</v>
      </c>
      <c r="K70" s="4">
        <v>666876198</v>
      </c>
      <c r="L70" s="4">
        <v>980924765</v>
      </c>
      <c r="M70" s="4">
        <v>1137772222</v>
      </c>
      <c r="N70" s="4">
        <v>989231476</v>
      </c>
      <c r="O70" s="5">
        <v>2029412077</v>
      </c>
      <c r="P70" s="4">
        <v>989231476</v>
      </c>
      <c r="Q70" s="4">
        <v>1871299293</v>
      </c>
      <c r="R70" s="4">
        <v>2089592951</v>
      </c>
      <c r="S70" s="4">
        <v>2029412077</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1658013711</v>
      </c>
      <c r="C76" s="4">
        <v>2586643385</v>
      </c>
      <c r="D76" s="4">
        <v>2081212917</v>
      </c>
      <c r="E76" s="4">
        <v>7368653221</v>
      </c>
      <c r="F76" s="4">
        <v>7428357587</v>
      </c>
      <c r="G76" s="4">
        <v>6069566359</v>
      </c>
      <c r="H76" s="4">
        <v>9122024315</v>
      </c>
      <c r="I76" s="4">
        <v>11034606984</v>
      </c>
      <c r="J76" s="4">
        <v>12855117835</v>
      </c>
      <c r="K76" s="4">
        <v>13540920648</v>
      </c>
      <c r="L76" s="4">
        <v>13871942661</v>
      </c>
      <c r="M76" s="4">
        <v>13692841348</v>
      </c>
      <c r="N76" s="4">
        <v>17370943140</v>
      </c>
      <c r="O76" s="5">
        <v>16789446384</v>
      </c>
      <c r="P76" s="4">
        <v>17370943140</v>
      </c>
      <c r="Q76" s="4">
        <v>15304585970</v>
      </c>
      <c r="R76" s="4">
        <v>15852562240</v>
      </c>
      <c r="S76" s="4">
        <v>16789446384</v>
      </c>
    </row>
    <row r="77" spans="1:19" ht="16" x14ac:dyDescent="0.2">
      <c r="A77" s="3" t="s">
        <v>86</v>
      </c>
      <c r="B77" s="4">
        <v>999894018</v>
      </c>
      <c r="C77" s="4">
        <v>1367738501</v>
      </c>
      <c r="D77" s="4">
        <v>1357841791</v>
      </c>
      <c r="E77" s="4">
        <v>1678112776</v>
      </c>
      <c r="F77" s="4">
        <v>1751579722</v>
      </c>
      <c r="G77" s="4">
        <v>1760534894</v>
      </c>
      <c r="H77" s="4">
        <v>1779616921</v>
      </c>
      <c r="I77" s="4">
        <v>1922236366</v>
      </c>
      <c r="J77" s="4">
        <v>1974324970</v>
      </c>
      <c r="K77" s="4">
        <v>2607787888</v>
      </c>
      <c r="L77" s="4">
        <v>322406980</v>
      </c>
      <c r="M77" s="4">
        <v>585773585</v>
      </c>
      <c r="N77" s="4">
        <v>4415095149</v>
      </c>
      <c r="O77" s="5">
        <v>5710474216</v>
      </c>
      <c r="P77" s="4">
        <v>4415095149</v>
      </c>
      <c r="Q77" s="4">
        <v>5046554351</v>
      </c>
      <c r="R77" s="4">
        <v>5491659311</v>
      </c>
      <c r="S77" s="4">
        <v>5710474216</v>
      </c>
    </row>
    <row r="78" spans="1:19" ht="16" x14ac:dyDescent="0.2">
      <c r="A78" s="3" t="s">
        <v>87</v>
      </c>
      <c r="B78" s="4">
        <v>2197430944</v>
      </c>
      <c r="C78" s="4">
        <v>2671326573</v>
      </c>
      <c r="D78" s="4">
        <v>2754672375</v>
      </c>
      <c r="E78" s="4">
        <v>3352695264</v>
      </c>
      <c r="F78" s="4">
        <v>3151095700</v>
      </c>
      <c r="G78" s="4">
        <v>3267639268</v>
      </c>
      <c r="H78" s="4">
        <v>3483717804</v>
      </c>
      <c r="I78" s="4">
        <v>4123417951</v>
      </c>
      <c r="J78" s="4">
        <v>4394133374</v>
      </c>
      <c r="K78" s="4">
        <v>5193687060</v>
      </c>
      <c r="L78" s="4">
        <v>3444554570</v>
      </c>
      <c r="M78" s="4">
        <v>3579348394</v>
      </c>
      <c r="N78" s="4">
        <v>7665076474</v>
      </c>
      <c r="O78" s="5">
        <v>5710474216</v>
      </c>
      <c r="P78" s="4">
        <v>7665076474</v>
      </c>
      <c r="Q78" s="4">
        <v>5046554351</v>
      </c>
      <c r="R78" s="4">
        <v>5491659311</v>
      </c>
      <c r="S78" s="4">
        <v>5710474216</v>
      </c>
    </row>
    <row r="79" spans="1:19" ht="16" x14ac:dyDescent="0.2">
      <c r="A79" s="3" t="s">
        <v>88</v>
      </c>
      <c r="B79" s="4">
        <v>1197536926</v>
      </c>
      <c r="C79" s="4">
        <v>1303588072</v>
      </c>
      <c r="D79" s="4">
        <v>1396830584</v>
      </c>
      <c r="E79" s="4">
        <v>1674582489</v>
      </c>
      <c r="F79" s="4">
        <v>1399515977</v>
      </c>
      <c r="G79" s="4">
        <v>1507104373</v>
      </c>
      <c r="H79" s="4">
        <v>1704100883</v>
      </c>
      <c r="I79" s="4">
        <v>2201181586</v>
      </c>
      <c r="J79" s="4">
        <v>2419808405</v>
      </c>
      <c r="K79" s="4">
        <v>2585899172</v>
      </c>
      <c r="L79" s="4">
        <v>3122147590</v>
      </c>
      <c r="M79" s="4">
        <v>2993574809</v>
      </c>
      <c r="N79" s="4">
        <v>3249981326</v>
      </c>
      <c r="O79" s="5" t="s">
        <v>24</v>
      </c>
      <c r="P79" s="4">
        <v>3249981326</v>
      </c>
      <c r="Q79" s="4" t="s">
        <v>24</v>
      </c>
      <c r="R79" s="4" t="s">
        <v>24</v>
      </c>
      <c r="S79" s="4" t="s">
        <v>24</v>
      </c>
    </row>
    <row r="80" spans="1:19" ht="16" x14ac:dyDescent="0.2">
      <c r="A80" s="3" t="s">
        <v>89</v>
      </c>
      <c r="B80" s="4" t="s">
        <v>24</v>
      </c>
      <c r="C80" s="4" t="s">
        <v>24</v>
      </c>
      <c r="D80" s="4" t="s">
        <v>24</v>
      </c>
      <c r="E80" s="4" t="s">
        <v>24</v>
      </c>
      <c r="F80" s="4" t="s">
        <v>24</v>
      </c>
      <c r="G80" s="4" t="s">
        <v>24</v>
      </c>
      <c r="H80" s="4" t="s">
        <v>24</v>
      </c>
      <c r="I80" s="4">
        <v>1179423138</v>
      </c>
      <c r="J80" s="4">
        <v>1046891788</v>
      </c>
      <c r="K80" s="4">
        <v>935041026</v>
      </c>
      <c r="L80" s="4">
        <v>1004172327</v>
      </c>
      <c r="M80" s="4">
        <v>1014954231</v>
      </c>
      <c r="N80" s="4">
        <v>985709560</v>
      </c>
      <c r="O80" s="5">
        <v>1158590169</v>
      </c>
      <c r="P80" s="4">
        <v>985709560</v>
      </c>
      <c r="Q80" s="4">
        <v>1053420689</v>
      </c>
      <c r="R80" s="4">
        <v>1135076754</v>
      </c>
      <c r="S80" s="4">
        <v>1158590169</v>
      </c>
    </row>
    <row r="81" spans="1:19" ht="16" x14ac:dyDescent="0.2">
      <c r="A81" s="3" t="s">
        <v>90</v>
      </c>
      <c r="B81" s="4" t="s">
        <v>24</v>
      </c>
      <c r="C81" s="4" t="s">
        <v>24</v>
      </c>
      <c r="D81" s="4" t="s">
        <v>24</v>
      </c>
      <c r="E81" s="4" t="s">
        <v>24</v>
      </c>
      <c r="F81" s="4" t="s">
        <v>24</v>
      </c>
      <c r="G81" s="4" t="s">
        <v>24</v>
      </c>
      <c r="H81" s="4" t="s">
        <v>24</v>
      </c>
      <c r="I81" s="4">
        <v>1179423138</v>
      </c>
      <c r="J81" s="4">
        <v>1046891788</v>
      </c>
      <c r="K81" s="4">
        <v>935041026</v>
      </c>
      <c r="L81" s="4">
        <v>1004172327</v>
      </c>
      <c r="M81" s="4">
        <v>1014954231</v>
      </c>
      <c r="N81" s="4">
        <v>985709560</v>
      </c>
      <c r="O81" s="5">
        <v>1158590169</v>
      </c>
      <c r="P81" s="4">
        <v>985709560</v>
      </c>
      <c r="Q81" s="4">
        <v>1053420689</v>
      </c>
      <c r="R81" s="4">
        <v>1135076754</v>
      </c>
      <c r="S81" s="4">
        <v>1158590169</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658119692</v>
      </c>
      <c r="C83" s="4">
        <v>1218904884</v>
      </c>
      <c r="D83" s="4">
        <v>723371126</v>
      </c>
      <c r="E83" s="4">
        <v>5690540445</v>
      </c>
      <c r="F83" s="4">
        <v>5676777864</v>
      </c>
      <c r="G83" s="4">
        <v>4309031465</v>
      </c>
      <c r="H83" s="4">
        <v>7342407394</v>
      </c>
      <c r="I83" s="4">
        <v>7932947481</v>
      </c>
      <c r="J83" s="4">
        <v>9833901077</v>
      </c>
      <c r="K83" s="4">
        <v>9998091735</v>
      </c>
      <c r="L83" s="4">
        <v>12545363354</v>
      </c>
      <c r="M83" s="4">
        <v>12092113532</v>
      </c>
      <c r="N83" s="4">
        <v>11970138431</v>
      </c>
      <c r="O83" s="5">
        <v>9920382000</v>
      </c>
      <c r="P83" s="4">
        <v>11970138431</v>
      </c>
      <c r="Q83" s="4">
        <v>9204610930</v>
      </c>
      <c r="R83" s="4">
        <v>9225826175</v>
      </c>
      <c r="S83" s="4">
        <v>9920382000</v>
      </c>
    </row>
    <row r="84" spans="1:19" ht="16" x14ac:dyDescent="0.2">
      <c r="A84" s="3" t="s">
        <v>93</v>
      </c>
      <c r="B84" s="4">
        <v>207939255</v>
      </c>
      <c r="C84" s="4">
        <v>549260706</v>
      </c>
      <c r="D84" s="4">
        <v>209756097</v>
      </c>
      <c r="E84" s="4">
        <v>4804701552</v>
      </c>
      <c r="F84" s="4">
        <v>4898923047</v>
      </c>
      <c r="G84" s="4">
        <v>3652993835</v>
      </c>
      <c r="H84" s="4">
        <v>6536193846</v>
      </c>
      <c r="I84" s="4">
        <v>6853070442</v>
      </c>
      <c r="J84" s="4">
        <v>8179656585</v>
      </c>
      <c r="K84" s="4">
        <v>7949644715</v>
      </c>
      <c r="L84" s="4">
        <v>6947472756</v>
      </c>
      <c r="M84" s="4">
        <v>6263376378</v>
      </c>
      <c r="N84" s="4">
        <v>8455586512</v>
      </c>
      <c r="O84" s="5">
        <v>5652878214</v>
      </c>
      <c r="P84" s="4">
        <v>8455586512</v>
      </c>
      <c r="Q84" s="4">
        <v>5833469166</v>
      </c>
      <c r="R84" s="4">
        <v>5831178617</v>
      </c>
      <c r="S84" s="4">
        <v>5652878214</v>
      </c>
    </row>
    <row r="85" spans="1:19" ht="16" x14ac:dyDescent="0.2">
      <c r="A85" s="3" t="s">
        <v>94</v>
      </c>
      <c r="B85" s="4">
        <v>189560108</v>
      </c>
      <c r="C85" s="4">
        <v>201373437</v>
      </c>
      <c r="D85" s="4">
        <v>196704021</v>
      </c>
      <c r="E85" s="4">
        <v>2909243243</v>
      </c>
      <c r="F85" s="4">
        <v>2878015752</v>
      </c>
      <c r="G85" s="4">
        <v>2851090644</v>
      </c>
      <c r="H85" s="4">
        <v>5140756699</v>
      </c>
      <c r="I85" s="4">
        <v>5452940755</v>
      </c>
      <c r="J85" s="4">
        <v>5215825684</v>
      </c>
      <c r="K85" s="4">
        <v>5121622674</v>
      </c>
      <c r="L85" s="4">
        <v>5663962617</v>
      </c>
      <c r="M85" s="4">
        <v>5180644811</v>
      </c>
      <c r="N85" s="4">
        <v>4884897388</v>
      </c>
      <c r="O85" s="5">
        <v>4851827933</v>
      </c>
      <c r="P85" s="4">
        <v>4884897388</v>
      </c>
      <c r="Q85" s="4">
        <v>4949425834</v>
      </c>
      <c r="R85" s="4">
        <v>4970161149</v>
      </c>
      <c r="S85" s="4">
        <v>4851827933</v>
      </c>
    </row>
    <row r="86" spans="1:19" ht="16" x14ac:dyDescent="0.2">
      <c r="A86" s="3" t="s">
        <v>95</v>
      </c>
      <c r="B86" s="4">
        <v>18379147</v>
      </c>
      <c r="C86" s="4">
        <v>347887269</v>
      </c>
      <c r="D86" s="4">
        <v>13052076</v>
      </c>
      <c r="E86" s="4">
        <v>1895458309</v>
      </c>
      <c r="F86" s="4">
        <v>2020907296</v>
      </c>
      <c r="G86" s="4">
        <v>801903190</v>
      </c>
      <c r="H86" s="4">
        <v>1395437147</v>
      </c>
      <c r="I86" s="4">
        <v>1400129687</v>
      </c>
      <c r="J86" s="4">
        <v>2963830901</v>
      </c>
      <c r="K86" s="4">
        <v>2828022041</v>
      </c>
      <c r="L86" s="4">
        <v>1283510139</v>
      </c>
      <c r="M86" s="4">
        <v>1082731567</v>
      </c>
      <c r="N86" s="4">
        <v>3570689124</v>
      </c>
      <c r="O86" s="5">
        <v>801050280</v>
      </c>
      <c r="P86" s="4">
        <v>3570689124</v>
      </c>
      <c r="Q86" s="4">
        <v>884043332</v>
      </c>
      <c r="R86" s="4">
        <v>861017468</v>
      </c>
      <c r="S86" s="4">
        <v>801050280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450180438</v>
      </c>
      <c r="C89" s="4">
        <v>669644178</v>
      </c>
      <c r="D89" s="4">
        <v>513615029</v>
      </c>
      <c r="E89" s="4">
        <v>885838894</v>
      </c>
      <c r="F89" s="4">
        <v>777854817</v>
      </c>
      <c r="G89" s="4">
        <v>656037630</v>
      </c>
      <c r="H89" s="4">
        <v>806213548</v>
      </c>
      <c r="I89" s="4">
        <v>1079877039</v>
      </c>
      <c r="J89" s="4">
        <v>1654244493</v>
      </c>
      <c r="K89" s="4">
        <v>2048447020</v>
      </c>
      <c r="L89" s="4">
        <v>5597890598</v>
      </c>
      <c r="M89" s="4">
        <v>5828737154</v>
      </c>
      <c r="N89" s="4">
        <v>3514551919</v>
      </c>
      <c r="O89" s="5">
        <v>4267503786</v>
      </c>
      <c r="P89" s="4">
        <v>3514551919</v>
      </c>
      <c r="Q89" s="4">
        <v>3371141764</v>
      </c>
      <c r="R89" s="4">
        <v>3394647558</v>
      </c>
      <c r="S89" s="4">
        <v>4267503786</v>
      </c>
    </row>
    <row r="90" spans="1:19" ht="16" x14ac:dyDescent="0.2">
      <c r="A90" s="3" t="s">
        <v>99</v>
      </c>
      <c r="B90" s="4">
        <v>8291275942</v>
      </c>
      <c r="C90" s="4">
        <v>9812889275</v>
      </c>
      <c r="D90" s="4">
        <v>9769940655</v>
      </c>
      <c r="E90" s="4">
        <v>16815528077</v>
      </c>
      <c r="F90" s="4">
        <v>15812261451</v>
      </c>
      <c r="G90" s="4">
        <v>14442296014</v>
      </c>
      <c r="H90" s="4">
        <v>18147960706</v>
      </c>
      <c r="I90" s="4">
        <v>21850188536</v>
      </c>
      <c r="J90" s="4">
        <v>24778687168</v>
      </c>
      <c r="K90" s="4">
        <v>26979357208</v>
      </c>
      <c r="L90" s="4">
        <v>33363188148</v>
      </c>
      <c r="M90" s="4">
        <v>34378802636</v>
      </c>
      <c r="N90" s="4">
        <v>41436941729</v>
      </c>
      <c r="O90" s="5">
        <v>39717419626</v>
      </c>
      <c r="P90" s="4">
        <v>41436941729</v>
      </c>
      <c r="Q90" s="4">
        <v>38186065383</v>
      </c>
      <c r="R90" s="4">
        <v>40289006056</v>
      </c>
      <c r="S90" s="4">
        <v>39717419626</v>
      </c>
    </row>
    <row r="91" spans="1:19" ht="16" x14ac:dyDescent="0.2">
      <c r="A91" s="3" t="s">
        <v>100</v>
      </c>
      <c r="B91" s="4">
        <v>2864655693</v>
      </c>
      <c r="C91" s="4">
        <v>2824459645</v>
      </c>
      <c r="D91" s="4">
        <v>2742415289</v>
      </c>
      <c r="E91" s="4">
        <v>3926460630</v>
      </c>
      <c r="F91" s="4">
        <v>3406760563</v>
      </c>
      <c r="G91" s="4">
        <v>3365496007</v>
      </c>
      <c r="H91" s="4">
        <v>3197100498</v>
      </c>
      <c r="I91" s="4">
        <v>3982684504</v>
      </c>
      <c r="J91" s="4">
        <v>2341045744</v>
      </c>
      <c r="K91" s="4">
        <v>2428861670</v>
      </c>
      <c r="L91" s="4">
        <v>3222723885</v>
      </c>
      <c r="M91" s="4">
        <v>4382441590</v>
      </c>
      <c r="N91" s="4">
        <v>4752558729</v>
      </c>
      <c r="O91" s="5" t="s">
        <v>24</v>
      </c>
      <c r="P91" s="4">
        <v>4752558729</v>
      </c>
      <c r="Q91" s="4" t="s">
        <v>24</v>
      </c>
      <c r="R91" s="4" t="s">
        <v>24</v>
      </c>
      <c r="S91" s="4" t="s">
        <v>24</v>
      </c>
    </row>
    <row r="92" spans="1:19" ht="16" x14ac:dyDescent="0.2">
      <c r="A92" s="3" t="s">
        <v>101</v>
      </c>
      <c r="B92" s="4">
        <v>745089280</v>
      </c>
      <c r="C92" s="4">
        <v>576725559</v>
      </c>
      <c r="D92" s="4">
        <v>249124588</v>
      </c>
      <c r="E92" s="4">
        <v>862412503</v>
      </c>
      <c r="F92" s="4">
        <v>600471920</v>
      </c>
      <c r="G92" s="4">
        <v>455042583</v>
      </c>
      <c r="H92" s="4">
        <v>625675835</v>
      </c>
      <c r="I92" s="4">
        <v>1005427604</v>
      </c>
      <c r="J92" s="4">
        <v>1101991356</v>
      </c>
      <c r="K92" s="4">
        <v>1192317620</v>
      </c>
      <c r="L92" s="4">
        <v>1685937675</v>
      </c>
      <c r="M92" s="4">
        <v>2406664021</v>
      </c>
      <c r="N92" s="4">
        <v>2735888325</v>
      </c>
      <c r="O92" s="5" t="s">
        <v>24</v>
      </c>
      <c r="P92" s="4">
        <v>2735888325</v>
      </c>
      <c r="Q92" s="4" t="s">
        <v>24</v>
      </c>
      <c r="R92" s="4" t="s">
        <v>24</v>
      </c>
      <c r="S92" s="4" t="s">
        <v>24</v>
      </c>
    </row>
    <row r="93" spans="1:19" ht="16" x14ac:dyDescent="0.2">
      <c r="A93" s="3" t="s">
        <v>102</v>
      </c>
      <c r="B93" s="4">
        <v>82098442</v>
      </c>
      <c r="C93" s="4">
        <v>19470876</v>
      </c>
      <c r="D93" s="4">
        <v>14226763</v>
      </c>
      <c r="E93" s="4">
        <v>21775616</v>
      </c>
      <c r="F93" s="4">
        <v>43916458</v>
      </c>
      <c r="G93" s="4">
        <v>3969323</v>
      </c>
      <c r="H93" s="4">
        <v>212986110</v>
      </c>
      <c r="I93" s="4">
        <v>182521194</v>
      </c>
      <c r="J93" s="4">
        <v>214796863</v>
      </c>
      <c r="K93" s="4">
        <v>73635884</v>
      </c>
      <c r="L93" s="4">
        <v>134591149</v>
      </c>
      <c r="M93" s="4">
        <v>343321773</v>
      </c>
      <c r="N93" s="4">
        <v>336503058</v>
      </c>
      <c r="O93" s="5" t="s">
        <v>24</v>
      </c>
      <c r="P93" s="4">
        <v>336503058</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2037467971</v>
      </c>
      <c r="C95" s="4">
        <v>2228263210</v>
      </c>
      <c r="D95" s="4">
        <v>2479063938</v>
      </c>
      <c r="E95" s="4">
        <v>3042272511</v>
      </c>
      <c r="F95" s="4">
        <v>2762372185</v>
      </c>
      <c r="G95" s="4">
        <v>2906484101</v>
      </c>
      <c r="H95" s="4">
        <v>2358438554</v>
      </c>
      <c r="I95" s="4">
        <v>2794735706</v>
      </c>
      <c r="J95" s="4">
        <v>1024257526</v>
      </c>
      <c r="K95" s="4">
        <v>1162908166</v>
      </c>
      <c r="L95" s="4">
        <v>1402195061</v>
      </c>
      <c r="M95" s="4">
        <v>1632455797</v>
      </c>
      <c r="N95" s="4">
        <v>1680167346</v>
      </c>
      <c r="O95" s="5" t="s">
        <v>24</v>
      </c>
      <c r="P95" s="4">
        <v>1680167346</v>
      </c>
      <c r="Q95" s="4" t="s">
        <v>24</v>
      </c>
      <c r="R95" s="4" t="s">
        <v>24</v>
      </c>
      <c r="S95" s="4" t="s">
        <v>24</v>
      </c>
    </row>
    <row r="96" spans="1:19" ht="16" x14ac:dyDescent="0.2">
      <c r="A96" s="3" t="s">
        <v>105</v>
      </c>
      <c r="B96" s="4" t="s">
        <v>24</v>
      </c>
      <c r="C96" s="4">
        <v>3358301</v>
      </c>
      <c r="D96" s="4">
        <v>4759394</v>
      </c>
      <c r="E96" s="4">
        <v>6042275</v>
      </c>
      <c r="F96" s="4">
        <v>5156036</v>
      </c>
      <c r="G96" s="4">
        <v>4574390</v>
      </c>
      <c r="H96" s="4">
        <v>261232584</v>
      </c>
      <c r="I96" s="4">
        <v>30260093</v>
      </c>
      <c r="J96" s="4">
        <v>30260093</v>
      </c>
      <c r="K96" s="4">
        <v>30260093</v>
      </c>
      <c r="L96" s="4">
        <v>18842761</v>
      </c>
      <c r="M96" s="4">
        <v>578950363</v>
      </c>
      <c r="N96" s="4">
        <v>796379898</v>
      </c>
      <c r="O96" s="5">
        <v>796379898</v>
      </c>
      <c r="P96" s="4">
        <v>796379898</v>
      </c>
      <c r="Q96" s="4">
        <v>796379898</v>
      </c>
      <c r="R96" s="4">
        <v>796379898</v>
      </c>
      <c r="S96" s="4">
        <v>796379898</v>
      </c>
    </row>
    <row r="97" spans="1:19" ht="16" x14ac:dyDescent="0.2">
      <c r="A97" s="3" t="s">
        <v>106</v>
      </c>
      <c r="B97" s="4" t="s">
        <v>24</v>
      </c>
      <c r="C97" s="4">
        <v>3358301</v>
      </c>
      <c r="D97" s="4">
        <v>4759394</v>
      </c>
      <c r="E97" s="4">
        <v>6042275</v>
      </c>
      <c r="F97" s="4">
        <v>5156036</v>
      </c>
      <c r="G97" s="4">
        <v>4574390</v>
      </c>
      <c r="H97" s="4">
        <v>261232584</v>
      </c>
      <c r="I97" s="4">
        <v>30260093</v>
      </c>
      <c r="J97" s="4" t="s">
        <v>24</v>
      </c>
      <c r="K97" s="4" t="s">
        <v>24</v>
      </c>
      <c r="L97" s="4">
        <v>18842761</v>
      </c>
      <c r="M97" s="4">
        <v>578950363</v>
      </c>
      <c r="N97" s="4">
        <v>796379898</v>
      </c>
      <c r="O97" s="5" t="s">
        <v>24</v>
      </c>
      <c r="P97" s="4">
        <v>796379898</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27443957</v>
      </c>
      <c r="C99" s="4">
        <v>70715148</v>
      </c>
      <c r="D99" s="4">
        <v>3385630</v>
      </c>
      <c r="E99" s="4">
        <v>15530783</v>
      </c>
      <c r="F99" s="4">
        <v>81437785</v>
      </c>
      <c r="G99" s="4">
        <v>5266360</v>
      </c>
      <c r="H99" s="4">
        <v>1886952</v>
      </c>
      <c r="I99" s="4" t="s">
        <v>24</v>
      </c>
      <c r="J99" s="4">
        <v>1993644113</v>
      </c>
      <c r="K99" s="4">
        <v>2840257271</v>
      </c>
      <c r="L99" s="4">
        <v>4838184740</v>
      </c>
      <c r="M99" s="4">
        <v>9023938165</v>
      </c>
      <c r="N99" s="4">
        <v>13408147376</v>
      </c>
      <c r="O99" s="5">
        <v>17267683777</v>
      </c>
      <c r="P99" s="4">
        <v>13408147376</v>
      </c>
      <c r="Q99" s="4">
        <v>18413241721</v>
      </c>
      <c r="R99" s="4">
        <v>18278946996</v>
      </c>
      <c r="S99" s="4">
        <v>17267683777</v>
      </c>
    </row>
    <row r="100" spans="1:19" ht="16" x14ac:dyDescent="0.2">
      <c r="A100" s="3" t="s">
        <v>109</v>
      </c>
      <c r="B100" s="4" t="s">
        <v>24</v>
      </c>
      <c r="C100" s="4" t="s">
        <v>24</v>
      </c>
      <c r="D100" s="4" t="s">
        <v>24</v>
      </c>
      <c r="E100" s="4" t="s">
        <v>24</v>
      </c>
      <c r="F100" s="4" t="s">
        <v>24</v>
      </c>
      <c r="G100" s="4" t="s">
        <v>24</v>
      </c>
      <c r="H100" s="4" t="s">
        <v>24</v>
      </c>
      <c r="I100" s="4">
        <v>1837219915</v>
      </c>
      <c r="J100" s="4">
        <v>1976039686</v>
      </c>
      <c r="K100" s="4">
        <v>2835879528</v>
      </c>
      <c r="L100" s="4">
        <v>4838184740</v>
      </c>
      <c r="M100" s="4">
        <v>9023938165</v>
      </c>
      <c r="N100" s="4">
        <v>13320312927</v>
      </c>
      <c r="O100" s="5" t="s">
        <v>24</v>
      </c>
      <c r="P100" s="4">
        <v>13320312927</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v>24446949</v>
      </c>
      <c r="C102" s="4">
        <v>277803</v>
      </c>
      <c r="D102" s="4">
        <v>357284</v>
      </c>
      <c r="E102" s="4">
        <v>4814529</v>
      </c>
      <c r="F102" s="4">
        <v>2332982</v>
      </c>
      <c r="G102" s="4">
        <v>2584297</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2997008</v>
      </c>
      <c r="C103" s="4">
        <v>70437345</v>
      </c>
      <c r="D103" s="4">
        <v>3028345</v>
      </c>
      <c r="E103" s="4">
        <v>10716254</v>
      </c>
      <c r="F103" s="4">
        <v>79104803</v>
      </c>
      <c r="G103" s="4">
        <v>2682063</v>
      </c>
      <c r="H103" s="4">
        <v>1886952</v>
      </c>
      <c r="I103" s="4">
        <v>-1837219915</v>
      </c>
      <c r="J103" s="4">
        <v>17604426</v>
      </c>
      <c r="K103" s="4">
        <v>4377743</v>
      </c>
      <c r="L103" s="4" t="s">
        <v>24</v>
      </c>
      <c r="M103" s="4" t="s">
        <v>24</v>
      </c>
      <c r="N103" s="4">
        <v>87834449</v>
      </c>
      <c r="O103" s="5">
        <v>17267683777</v>
      </c>
      <c r="P103" s="4">
        <v>87834449</v>
      </c>
      <c r="Q103" s="4">
        <v>18413241721</v>
      </c>
      <c r="R103" s="4">
        <v>18278946996</v>
      </c>
      <c r="S103" s="4">
        <v>17267683777</v>
      </c>
    </row>
    <row r="104" spans="1:19" ht="16" x14ac:dyDescent="0.2">
      <c r="A104" s="3" t="s">
        <v>113</v>
      </c>
      <c r="B104" s="4">
        <v>2892099650</v>
      </c>
      <c r="C104" s="4">
        <v>2898533094</v>
      </c>
      <c r="D104" s="4">
        <v>2750560312</v>
      </c>
      <c r="E104" s="4">
        <v>3948033688</v>
      </c>
      <c r="F104" s="4">
        <v>3493354384</v>
      </c>
      <c r="G104" s="4">
        <v>3375336756</v>
      </c>
      <c r="H104" s="4">
        <v>3460220035</v>
      </c>
      <c r="I104" s="4">
        <v>4012944597</v>
      </c>
      <c r="J104" s="4">
        <v>4334689857</v>
      </c>
      <c r="K104" s="4">
        <v>5269118941</v>
      </c>
      <c r="L104" s="4">
        <v>8079751386</v>
      </c>
      <c r="M104" s="4">
        <v>13985330119</v>
      </c>
      <c r="N104" s="4">
        <v>18957086003</v>
      </c>
      <c r="O104" s="5">
        <v>17267683777</v>
      </c>
      <c r="P104" s="4">
        <v>18957086003</v>
      </c>
      <c r="Q104" s="4">
        <v>18413241721</v>
      </c>
      <c r="R104" s="4">
        <v>18278946996</v>
      </c>
      <c r="S104" s="4">
        <v>17267683777</v>
      </c>
    </row>
    <row r="105" spans="1:19" ht="16" x14ac:dyDescent="0.2">
      <c r="A105" s="3" t="s">
        <v>114</v>
      </c>
      <c r="B105" s="4">
        <v>952630096</v>
      </c>
      <c r="C105" s="4">
        <v>947804187</v>
      </c>
      <c r="D105" s="4">
        <v>996572180</v>
      </c>
      <c r="E105" s="4">
        <v>1468549858</v>
      </c>
      <c r="F105" s="4">
        <v>1391411041</v>
      </c>
      <c r="G105" s="4">
        <v>1222625360</v>
      </c>
      <c r="H105" s="4">
        <v>3239987777</v>
      </c>
      <c r="I105" s="4">
        <v>3602512070</v>
      </c>
      <c r="J105" s="4">
        <v>3459727011</v>
      </c>
      <c r="K105" s="4">
        <v>3489061248</v>
      </c>
      <c r="L105" s="4">
        <v>5705196451</v>
      </c>
      <c r="M105" s="4">
        <v>4634104752</v>
      </c>
      <c r="N105" s="4">
        <v>3750520286</v>
      </c>
      <c r="O105" s="5">
        <v>4787985306</v>
      </c>
      <c r="P105" s="4">
        <v>3750520286</v>
      </c>
      <c r="Q105" s="4">
        <v>3841682709</v>
      </c>
      <c r="R105" s="4">
        <v>4928921336</v>
      </c>
      <c r="S105" s="4">
        <v>4787985306</v>
      </c>
    </row>
    <row r="106" spans="1:19" ht="16" x14ac:dyDescent="0.2">
      <c r="A106" s="3" t="s">
        <v>115</v>
      </c>
      <c r="B106" s="4">
        <v>952630096</v>
      </c>
      <c r="C106" s="4">
        <v>947804187</v>
      </c>
      <c r="D106" s="4">
        <v>996572180</v>
      </c>
      <c r="E106" s="4">
        <v>1468549858</v>
      </c>
      <c r="F106" s="4">
        <v>1391411041</v>
      </c>
      <c r="G106" s="4">
        <v>1222625360</v>
      </c>
      <c r="H106" s="4">
        <v>3239987777</v>
      </c>
      <c r="I106" s="4">
        <v>3602512070</v>
      </c>
      <c r="J106" s="4">
        <v>3459727011</v>
      </c>
      <c r="K106" s="4">
        <v>3489061248</v>
      </c>
      <c r="L106" s="4">
        <v>5705196451</v>
      </c>
      <c r="M106" s="4">
        <v>4634104752</v>
      </c>
      <c r="N106" s="4">
        <v>3750520286</v>
      </c>
      <c r="O106" s="5">
        <v>4787985306</v>
      </c>
      <c r="P106" s="4">
        <v>3750520286</v>
      </c>
      <c r="Q106" s="4">
        <v>3841682709</v>
      </c>
      <c r="R106" s="4">
        <v>4928921336</v>
      </c>
      <c r="S106" s="4">
        <v>4787985306</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t="s">
        <v>24</v>
      </c>
      <c r="M107" s="4" t="s">
        <v>24</v>
      </c>
      <c r="N107" s="4" t="s">
        <v>24</v>
      </c>
      <c r="O107" s="5" t="s">
        <v>24</v>
      </c>
      <c r="P107" s="4" t="s">
        <v>24</v>
      </c>
      <c r="Q107" s="4" t="s">
        <v>24</v>
      </c>
      <c r="R107" s="4" t="s">
        <v>24</v>
      </c>
      <c r="S107" s="4" t="s">
        <v>24</v>
      </c>
    </row>
    <row r="108" spans="1:19" ht="16" x14ac:dyDescent="0.2">
      <c r="A108" s="3" t="s">
        <v>117</v>
      </c>
      <c r="B108" s="4">
        <v>725238459</v>
      </c>
      <c r="C108" s="4">
        <v>1137705917</v>
      </c>
      <c r="D108" s="4">
        <v>661041528</v>
      </c>
      <c r="E108" s="4">
        <v>1002655297</v>
      </c>
      <c r="F108" s="4">
        <v>804276327</v>
      </c>
      <c r="G108" s="4">
        <v>731619885</v>
      </c>
      <c r="H108" s="4">
        <v>1089664487</v>
      </c>
      <c r="I108" s="4">
        <v>1414779414</v>
      </c>
      <c r="J108" s="4">
        <v>2189236147</v>
      </c>
      <c r="K108" s="4">
        <v>2644381330</v>
      </c>
      <c r="L108" s="4">
        <v>2613148336</v>
      </c>
      <c r="M108" s="4">
        <v>4227440737</v>
      </c>
      <c r="N108" s="4">
        <v>6684382976</v>
      </c>
      <c r="O108" s="5">
        <v>4962149687</v>
      </c>
      <c r="P108" s="4">
        <v>6684382976</v>
      </c>
      <c r="Q108" s="4">
        <v>5298827746</v>
      </c>
      <c r="R108" s="4">
        <v>5511188218</v>
      </c>
      <c r="S108" s="4">
        <v>4962149687</v>
      </c>
    </row>
    <row r="109" spans="1:19" ht="16" x14ac:dyDescent="0.2">
      <c r="A109" s="3" t="s">
        <v>118</v>
      </c>
      <c r="B109" s="4">
        <v>208878335</v>
      </c>
      <c r="C109" s="4">
        <v>263910272</v>
      </c>
      <c r="D109" s="4">
        <v>116413975</v>
      </c>
      <c r="E109" s="4">
        <v>606135977</v>
      </c>
      <c r="F109" s="4">
        <v>301749736</v>
      </c>
      <c r="G109" s="4">
        <v>278852004</v>
      </c>
      <c r="H109" s="4">
        <v>418631144</v>
      </c>
      <c r="I109" s="4">
        <v>393741445</v>
      </c>
      <c r="J109" s="4">
        <v>1958549575</v>
      </c>
      <c r="K109" s="4">
        <v>2373859257</v>
      </c>
      <c r="L109" s="4">
        <v>2298082691</v>
      </c>
      <c r="M109" s="4">
        <v>3941888908</v>
      </c>
      <c r="N109" s="4">
        <v>6198892202</v>
      </c>
      <c r="O109" s="5">
        <v>4453526168</v>
      </c>
      <c r="P109" s="4">
        <v>6198892202</v>
      </c>
      <c r="Q109" s="4">
        <v>4824266941</v>
      </c>
      <c r="R109" s="4">
        <v>4994708657</v>
      </c>
      <c r="S109" s="4">
        <v>4453526168</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516360124</v>
      </c>
      <c r="C114" s="4">
        <v>873795645</v>
      </c>
      <c r="D114" s="4">
        <v>544627553</v>
      </c>
      <c r="E114" s="4">
        <v>396519320</v>
      </c>
      <c r="F114" s="4">
        <v>502526590</v>
      </c>
      <c r="G114" s="4">
        <v>452767881</v>
      </c>
      <c r="H114" s="4">
        <v>671033343</v>
      </c>
      <c r="I114" s="4">
        <v>1021037970</v>
      </c>
      <c r="J114" s="4">
        <v>230686572</v>
      </c>
      <c r="K114" s="4">
        <v>270522073</v>
      </c>
      <c r="L114" s="4">
        <v>315065644</v>
      </c>
      <c r="M114" s="4">
        <v>285551829</v>
      </c>
      <c r="N114" s="4">
        <v>485490774</v>
      </c>
      <c r="O114" s="5">
        <v>508623519</v>
      </c>
      <c r="P114" s="4">
        <v>485490774</v>
      </c>
      <c r="Q114" s="4">
        <v>474560805</v>
      </c>
      <c r="R114" s="4">
        <v>516479561</v>
      </c>
      <c r="S114" s="4">
        <v>508623519</v>
      </c>
    </row>
    <row r="115" spans="1:19" ht="16" x14ac:dyDescent="0.2">
      <c r="A115" s="3" t="s">
        <v>121</v>
      </c>
      <c r="B115" s="4">
        <v>1677868556</v>
      </c>
      <c r="C115" s="4">
        <v>2085510105</v>
      </c>
      <c r="D115" s="4">
        <v>1657613708</v>
      </c>
      <c r="E115" s="4">
        <v>2471205155</v>
      </c>
      <c r="F115" s="4">
        <v>2195687368</v>
      </c>
      <c r="G115" s="4">
        <v>1954245245</v>
      </c>
      <c r="H115" s="4">
        <v>4329652265</v>
      </c>
      <c r="I115" s="4">
        <v>5017291484</v>
      </c>
      <c r="J115" s="4">
        <v>5648963158</v>
      </c>
      <c r="K115" s="4">
        <v>6133442579</v>
      </c>
      <c r="L115" s="4">
        <v>8318344786</v>
      </c>
      <c r="M115" s="4">
        <v>8861545488</v>
      </c>
      <c r="N115" s="4">
        <v>10434903262</v>
      </c>
      <c r="O115" s="5">
        <v>9750134993</v>
      </c>
      <c r="P115" s="4">
        <v>10434903262</v>
      </c>
      <c r="Q115" s="4">
        <v>9140510455</v>
      </c>
      <c r="R115" s="4">
        <v>10440109554</v>
      </c>
      <c r="S115" s="4">
        <v>9750134993</v>
      </c>
    </row>
    <row r="116" spans="1:19" ht="16" x14ac:dyDescent="0.2">
      <c r="A116" s="3" t="s">
        <v>122</v>
      </c>
      <c r="B116" s="4">
        <v>4569968205</v>
      </c>
      <c r="C116" s="4">
        <v>4984043199</v>
      </c>
      <c r="D116" s="4">
        <v>4408174020</v>
      </c>
      <c r="E116" s="4">
        <v>6419238844</v>
      </c>
      <c r="F116" s="4">
        <v>5689041753</v>
      </c>
      <c r="G116" s="4">
        <v>5329582001</v>
      </c>
      <c r="H116" s="4">
        <v>7789872299</v>
      </c>
      <c r="I116" s="4">
        <v>9030236081</v>
      </c>
      <c r="J116" s="4">
        <v>9983653015</v>
      </c>
      <c r="K116" s="4">
        <v>11402561520</v>
      </c>
      <c r="L116" s="4">
        <v>16398096172</v>
      </c>
      <c r="M116" s="4">
        <v>22846875607</v>
      </c>
      <c r="N116" s="4">
        <v>29391989265</v>
      </c>
      <c r="O116" s="5">
        <v>27017818771</v>
      </c>
      <c r="P116" s="4">
        <v>29391989265</v>
      </c>
      <c r="Q116" s="4">
        <v>27553752176</v>
      </c>
      <c r="R116" s="4">
        <v>28719056550</v>
      </c>
      <c r="S116" s="4">
        <v>27017818771</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684919709</v>
      </c>
      <c r="C118" s="4">
        <v>663867433</v>
      </c>
      <c r="D118" s="4">
        <v>687041528</v>
      </c>
      <c r="E118" s="4">
        <v>4068999075</v>
      </c>
      <c r="F118" s="4">
        <v>4230323927</v>
      </c>
      <c r="G118" s="4">
        <v>3377420271</v>
      </c>
      <c r="H118" s="4">
        <v>3937366721</v>
      </c>
      <c r="I118" s="4">
        <v>4528566971</v>
      </c>
      <c r="J118" s="4">
        <v>4320972122</v>
      </c>
      <c r="K118" s="4">
        <v>4276942756</v>
      </c>
      <c r="L118" s="4">
        <v>4671169359</v>
      </c>
      <c r="M118" s="4">
        <v>4449422884</v>
      </c>
      <c r="N118" s="4">
        <v>4768353988</v>
      </c>
      <c r="O118" s="5" t="s">
        <v>24</v>
      </c>
      <c r="P118" s="4">
        <v>4768353988</v>
      </c>
      <c r="Q118" s="4" t="s">
        <v>24</v>
      </c>
      <c r="R118" s="4" t="s">
        <v>24</v>
      </c>
      <c r="S118" s="4" t="s">
        <v>24</v>
      </c>
    </row>
    <row r="119" spans="1:19" ht="16" x14ac:dyDescent="0.2">
      <c r="A119" s="3" t="s">
        <v>125</v>
      </c>
      <c r="B119" s="4">
        <v>52713272</v>
      </c>
      <c r="C119" s="4">
        <v>49789051</v>
      </c>
      <c r="D119" s="4">
        <v>49400132</v>
      </c>
      <c r="E119" s="4">
        <v>55244447</v>
      </c>
      <c r="F119" s="4">
        <v>47707554</v>
      </c>
      <c r="G119" s="4">
        <v>42133050</v>
      </c>
      <c r="H119" s="4">
        <v>41547744</v>
      </c>
      <c r="I119" s="4">
        <v>46590936</v>
      </c>
      <c r="J119" s="4">
        <v>44125380</v>
      </c>
      <c r="K119" s="4">
        <v>42879432</v>
      </c>
      <c r="L119" s="4">
        <v>46005702</v>
      </c>
      <c r="M119" s="4">
        <v>41507932</v>
      </c>
      <c r="N119" s="4">
        <v>38741075</v>
      </c>
      <c r="O119" s="5" t="s">
        <v>24</v>
      </c>
      <c r="P119" s="4">
        <v>38741075</v>
      </c>
      <c r="Q119" s="4" t="s">
        <v>24</v>
      </c>
      <c r="R119" s="4" t="s">
        <v>24</v>
      </c>
      <c r="S119" s="4" t="s">
        <v>24</v>
      </c>
    </row>
    <row r="120" spans="1:19" ht="16" x14ac:dyDescent="0.2">
      <c r="A120" s="3" t="s">
        <v>126</v>
      </c>
      <c r="B120" s="4">
        <v>632206437</v>
      </c>
      <c r="C120" s="4">
        <v>614078382</v>
      </c>
      <c r="D120" s="4">
        <v>637641396</v>
      </c>
      <c r="E120" s="4">
        <v>4013754628</v>
      </c>
      <c r="F120" s="4">
        <v>4182616372</v>
      </c>
      <c r="G120" s="4">
        <v>3335287221</v>
      </c>
      <c r="H120" s="4">
        <v>3895818977</v>
      </c>
      <c r="I120" s="4">
        <v>4481976034</v>
      </c>
      <c r="J120" s="4">
        <v>4276846742</v>
      </c>
      <c r="K120" s="4">
        <v>4234063324</v>
      </c>
      <c r="L120" s="4">
        <v>4625163658</v>
      </c>
      <c r="M120" s="4">
        <v>4407914951</v>
      </c>
      <c r="N120" s="4">
        <v>4729612913</v>
      </c>
      <c r="O120" s="5" t="s">
        <v>24</v>
      </c>
      <c r="P120" s="4">
        <v>4729612913</v>
      </c>
      <c r="Q120" s="4" t="s">
        <v>24</v>
      </c>
      <c r="R120" s="4" t="s">
        <v>24</v>
      </c>
      <c r="S120" s="4" t="s">
        <v>24</v>
      </c>
    </row>
    <row r="121" spans="1:19" ht="16" x14ac:dyDescent="0.2">
      <c r="A121" s="3" t="s">
        <v>127</v>
      </c>
      <c r="B121" s="4">
        <v>203474598</v>
      </c>
      <c r="C121" s="4">
        <v>540569626</v>
      </c>
      <c r="D121" s="4">
        <v>612490441</v>
      </c>
      <c r="E121" s="4">
        <v>502538170</v>
      </c>
      <c r="F121" s="4">
        <v>471246717</v>
      </c>
      <c r="G121" s="4">
        <v>518078127</v>
      </c>
      <c r="H121" s="4">
        <v>839765215</v>
      </c>
      <c r="I121" s="4">
        <v>669924830</v>
      </c>
      <c r="J121" s="4">
        <v>1853951847</v>
      </c>
      <c r="K121" s="4">
        <v>1144499195</v>
      </c>
      <c r="L121" s="4">
        <v>1056173453</v>
      </c>
      <c r="M121" s="4">
        <v>2755216931</v>
      </c>
      <c r="N121" s="4">
        <v>4953414661</v>
      </c>
      <c r="O121" s="5" t="s">
        <v>24</v>
      </c>
      <c r="P121" s="4">
        <v>4953414661</v>
      </c>
      <c r="Q121" s="4" t="s">
        <v>24</v>
      </c>
      <c r="R121" s="4" t="s">
        <v>24</v>
      </c>
      <c r="S121" s="4" t="s">
        <v>24</v>
      </c>
    </row>
    <row r="122" spans="1:19" ht="16" x14ac:dyDescent="0.2">
      <c r="A122" s="3" t="s">
        <v>128</v>
      </c>
      <c r="B122" s="4">
        <v>3174686414</v>
      </c>
      <c r="C122" s="4">
        <v>4245846582</v>
      </c>
      <c r="D122" s="4">
        <v>5183070525</v>
      </c>
      <c r="E122" s="4">
        <v>6030718477</v>
      </c>
      <c r="F122" s="4">
        <v>3465622387</v>
      </c>
      <c r="G122" s="4">
        <v>5740326548</v>
      </c>
      <c r="H122" s="4">
        <v>6626484853</v>
      </c>
      <c r="I122" s="4">
        <v>8659309786</v>
      </c>
      <c r="J122" s="4">
        <v>10514529348</v>
      </c>
      <c r="K122" s="4">
        <v>10690448643</v>
      </c>
      <c r="L122" s="4">
        <v>13130590141</v>
      </c>
      <c r="M122" s="4">
        <v>9458463669</v>
      </c>
      <c r="N122" s="4">
        <v>9282596406</v>
      </c>
      <c r="O122" s="5" t="s">
        <v>24</v>
      </c>
      <c r="P122" s="4">
        <v>9282596406</v>
      </c>
      <c r="Q122" s="4" t="s">
        <v>24</v>
      </c>
      <c r="R122" s="4" t="s">
        <v>24</v>
      </c>
      <c r="S122" s="4" t="s">
        <v>24</v>
      </c>
    </row>
    <row r="123" spans="1:19" ht="16" x14ac:dyDescent="0.2">
      <c r="A123" s="3" t="s">
        <v>129</v>
      </c>
      <c r="B123" s="4">
        <v>65186944</v>
      </c>
      <c r="C123" s="4">
        <v>101866732</v>
      </c>
      <c r="D123" s="4">
        <v>104135794</v>
      </c>
      <c r="E123" s="4">
        <v>-58477099</v>
      </c>
      <c r="F123" s="4">
        <v>2898520102</v>
      </c>
      <c r="G123" s="4">
        <v>513078996</v>
      </c>
      <c r="H123" s="4">
        <v>634087484</v>
      </c>
      <c r="I123" s="4">
        <v>302000528</v>
      </c>
      <c r="J123" s="4">
        <v>325796200</v>
      </c>
      <c r="K123" s="4">
        <v>311830008</v>
      </c>
      <c r="L123" s="4">
        <v>219505928</v>
      </c>
      <c r="M123" s="4">
        <v>379257407</v>
      </c>
      <c r="N123" s="4">
        <v>2947416730</v>
      </c>
      <c r="O123" s="5" t="s">
        <v>24</v>
      </c>
      <c r="P123" s="4">
        <v>2947416730</v>
      </c>
      <c r="Q123" s="4" t="s">
        <v>24</v>
      </c>
      <c r="R123" s="4" t="s">
        <v>24</v>
      </c>
      <c r="S123" s="4" t="s">
        <v>24</v>
      </c>
    </row>
    <row r="124" spans="1:19" ht="16" x14ac:dyDescent="0.2">
      <c r="A124" s="3" t="s">
        <v>130</v>
      </c>
      <c r="B124" s="4">
        <v>3721307737</v>
      </c>
      <c r="C124" s="4">
        <v>4828846076</v>
      </c>
      <c r="D124" s="4">
        <v>5361766635</v>
      </c>
      <c r="E124" s="4">
        <v>10396289233</v>
      </c>
      <c r="F124" s="4">
        <v>10123219698</v>
      </c>
      <c r="G124" s="4">
        <v>9112714013</v>
      </c>
      <c r="H124" s="4">
        <v>10358088407</v>
      </c>
      <c r="I124" s="4">
        <v>12819952455</v>
      </c>
      <c r="J124" s="4">
        <v>14795034153</v>
      </c>
      <c r="K124" s="4">
        <v>15576795688</v>
      </c>
      <c r="L124" s="4">
        <v>16965091976</v>
      </c>
      <c r="M124" s="4">
        <v>11531927029</v>
      </c>
      <c r="N124" s="4">
        <v>12044952464</v>
      </c>
      <c r="O124" s="5">
        <v>12699600855</v>
      </c>
      <c r="P124" s="4">
        <v>12044952464</v>
      </c>
      <c r="Q124" s="4">
        <v>10632313206</v>
      </c>
      <c r="R124" s="4">
        <v>11569949506</v>
      </c>
      <c r="S124" s="4">
        <v>12699600855</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3721307737</v>
      </c>
      <c r="C126" s="4">
        <v>4828846076</v>
      </c>
      <c r="D126" s="4">
        <v>5361766635</v>
      </c>
      <c r="E126" s="4">
        <v>10396289233</v>
      </c>
      <c r="F126" s="4">
        <v>10123219698</v>
      </c>
      <c r="G126" s="4">
        <v>9112714013</v>
      </c>
      <c r="H126" s="4">
        <v>10358088407</v>
      </c>
      <c r="I126" s="4">
        <v>12819952455</v>
      </c>
      <c r="J126" s="4">
        <v>14795034153</v>
      </c>
      <c r="K126" s="4">
        <v>15576795688</v>
      </c>
      <c r="L126" s="4">
        <v>16965091976</v>
      </c>
      <c r="M126" s="4">
        <v>11531927029</v>
      </c>
      <c r="N126" s="4">
        <v>12044952464</v>
      </c>
      <c r="O126" s="5">
        <v>12699600855</v>
      </c>
      <c r="P126" s="4">
        <v>12044952464</v>
      </c>
      <c r="Q126" s="4">
        <v>10632313206</v>
      </c>
      <c r="R126" s="4">
        <v>11569949506</v>
      </c>
      <c r="S126" s="4">
        <v>12699600855</v>
      </c>
    </row>
    <row r="127" spans="1:19" ht="16" x14ac:dyDescent="0.2">
      <c r="A127" s="3" t="s">
        <v>133</v>
      </c>
      <c r="B127" s="4">
        <v>8291275942</v>
      </c>
      <c r="C127" s="4">
        <v>9812889275</v>
      </c>
      <c r="D127" s="4">
        <v>9769940655</v>
      </c>
      <c r="E127" s="4">
        <v>16815528077</v>
      </c>
      <c r="F127" s="4">
        <v>15812261451</v>
      </c>
      <c r="G127" s="4">
        <v>14442296014</v>
      </c>
      <c r="H127" s="4">
        <v>18147960706</v>
      </c>
      <c r="I127" s="4">
        <v>21850188536</v>
      </c>
      <c r="J127" s="4">
        <v>24778687168</v>
      </c>
      <c r="K127" s="4">
        <v>26979357208</v>
      </c>
      <c r="L127" s="4">
        <v>33363188148</v>
      </c>
      <c r="M127" s="4">
        <v>34378802636</v>
      </c>
      <c r="N127" s="4">
        <v>41436941729</v>
      </c>
      <c r="O127" s="5">
        <v>39717419626</v>
      </c>
      <c r="P127" s="4">
        <v>41436941729</v>
      </c>
      <c r="Q127" s="4">
        <v>38186065383</v>
      </c>
      <c r="R127" s="4">
        <v>40289006056</v>
      </c>
      <c r="S127" s="4">
        <v>39717419626</v>
      </c>
    </row>
    <row r="128" spans="1:19" ht="16" x14ac:dyDescent="0.2">
      <c r="A128" s="34" t="s">
        <v>134</v>
      </c>
      <c r="B128" s="30">
        <v>336177000</v>
      </c>
      <c r="C128" s="30">
        <v>318525000</v>
      </c>
      <c r="D128" s="30">
        <v>407165000</v>
      </c>
      <c r="E128" s="30">
        <v>440852000</v>
      </c>
      <c r="F128" s="30">
        <v>432935000</v>
      </c>
      <c r="G128" s="30">
        <v>427987000</v>
      </c>
      <c r="H128" s="30">
        <v>429941000</v>
      </c>
      <c r="I128" s="30">
        <v>427394000</v>
      </c>
      <c r="J128" s="30">
        <v>421098000</v>
      </c>
      <c r="K128" s="30">
        <v>419811000</v>
      </c>
      <c r="L128" s="30">
        <v>416514000</v>
      </c>
      <c r="M128" s="30">
        <v>402602000</v>
      </c>
      <c r="N128" s="30">
        <v>394589000</v>
      </c>
      <c r="O128" s="31">
        <v>394590000</v>
      </c>
      <c r="P128" s="30">
        <v>394589000</v>
      </c>
      <c r="Q128" s="30">
        <v>394590000</v>
      </c>
      <c r="R128" s="30">
        <v>393400000</v>
      </c>
      <c r="S128" s="30">
        <v>394590000</v>
      </c>
    </row>
    <row r="129" spans="1:19" ht="16" x14ac:dyDescent="0.2">
      <c r="A129" s="15" t="s">
        <v>197</v>
      </c>
      <c r="B129" s="10"/>
      <c r="C129" s="20">
        <f>(C128/B128)-1</f>
        <v>-5.2508053793091092E-2</v>
      </c>
      <c r="D129" s="20">
        <f>(D128/C128)-1</f>
        <v>0.27828270936347232</v>
      </c>
      <c r="E129" s="20">
        <f>(E128/D128)-1</f>
        <v>8.2735500349981006E-2</v>
      </c>
      <c r="F129" s="20">
        <f t="shared" ref="F129:S129" si="9">(F128/E128)-1</f>
        <v>-1.7958407810330868E-2</v>
      </c>
      <c r="G129" s="20">
        <f t="shared" si="9"/>
        <v>-1.1428967396953316E-2</v>
      </c>
      <c r="H129" s="20">
        <f t="shared" si="9"/>
        <v>4.5655592342757068E-3</v>
      </c>
      <c r="I129" s="20">
        <f t="shared" si="9"/>
        <v>-5.9240686512800345E-3</v>
      </c>
      <c r="J129" s="20">
        <f t="shared" si="9"/>
        <v>-1.4731138013168166E-2</v>
      </c>
      <c r="K129" s="20">
        <f t="shared" si="9"/>
        <v>-3.0562956841400091E-3</v>
      </c>
      <c r="L129" s="20">
        <f t="shared" si="9"/>
        <v>-7.8535340903406192E-3</v>
      </c>
      <c r="M129" s="20">
        <f t="shared" si="9"/>
        <v>-3.340103814037465E-2</v>
      </c>
      <c r="N129" s="20">
        <f t="shared" si="9"/>
        <v>-1.9903030784745201E-2</v>
      </c>
      <c r="O129" s="20">
        <f t="shared" si="9"/>
        <v>2.5342825065166608E-6</v>
      </c>
      <c r="P129" s="20">
        <f t="shared" si="9"/>
        <v>-2.5342760839874856E-6</v>
      </c>
      <c r="Q129" s="20">
        <f t="shared" si="9"/>
        <v>2.5342825065166608E-6</v>
      </c>
      <c r="R129" s="20">
        <f t="shared" si="9"/>
        <v>-3.0157885400035056E-3</v>
      </c>
      <c r="S129" s="20">
        <f t="shared" si="9"/>
        <v>3.0249110320283989E-3</v>
      </c>
    </row>
    <row r="130" spans="1:19" ht="16" x14ac:dyDescent="0.2">
      <c r="A130" s="3" t="s">
        <v>135</v>
      </c>
      <c r="B130" s="4" t="s">
        <v>24</v>
      </c>
      <c r="C130" s="4" t="s">
        <v>24</v>
      </c>
      <c r="D130" s="4" t="s">
        <v>24</v>
      </c>
      <c r="E130" s="4" t="s">
        <v>24</v>
      </c>
      <c r="F130" s="4" t="s">
        <v>24</v>
      </c>
      <c r="G130" s="4" t="s">
        <v>24</v>
      </c>
      <c r="H130" s="4" t="s">
        <v>24</v>
      </c>
      <c r="I130" s="4" t="s">
        <v>24</v>
      </c>
      <c r="J130" s="4" t="s">
        <v>24</v>
      </c>
      <c r="K130" s="4" t="s">
        <v>24</v>
      </c>
      <c r="L130" s="4" t="s">
        <v>24</v>
      </c>
      <c r="M130" s="4" t="s">
        <v>24</v>
      </c>
      <c r="N130" s="4" t="s">
        <v>24</v>
      </c>
      <c r="O130" s="5" t="s">
        <v>24</v>
      </c>
      <c r="P130" s="4" t="s">
        <v>24</v>
      </c>
      <c r="Q130" s="4" t="s">
        <v>24</v>
      </c>
      <c r="R130" s="4" t="s">
        <v>24</v>
      </c>
      <c r="S130" s="4" t="s">
        <v>24</v>
      </c>
    </row>
    <row r="131" spans="1:19" ht="16" x14ac:dyDescent="0.2">
      <c r="A131" s="3" t="s">
        <v>136</v>
      </c>
      <c r="B131" s="4">
        <v>-1663111576</v>
      </c>
      <c r="C131" s="4">
        <v>-2595086520</v>
      </c>
      <c r="D131" s="4">
        <v>-1329057348</v>
      </c>
      <c r="E131" s="4">
        <v>-1736968808</v>
      </c>
      <c r="F131" s="4">
        <v>-1531140715</v>
      </c>
      <c r="G131" s="4">
        <v>-1443674504</v>
      </c>
      <c r="H131" s="4">
        <v>435161221</v>
      </c>
      <c r="I131" s="4">
        <v>920170994</v>
      </c>
      <c r="J131" s="4">
        <v>-108141475</v>
      </c>
      <c r="K131" s="4">
        <v>-475939250</v>
      </c>
      <c r="L131" s="4">
        <v>-1677739850</v>
      </c>
      <c r="M131" s="4">
        <v>-2692557011</v>
      </c>
      <c r="N131" s="4">
        <v>-3210173003</v>
      </c>
      <c r="O131" s="5">
        <v>-479825518</v>
      </c>
      <c r="P131" s="4">
        <v>-3210173003</v>
      </c>
      <c r="Q131" s="4">
        <v>-3380702513</v>
      </c>
      <c r="R131" s="4">
        <v>-1989439120</v>
      </c>
      <c r="S131" s="4">
        <v>-479825518</v>
      </c>
    </row>
    <row r="132" spans="1:19" ht="16" x14ac:dyDescent="0.2">
      <c r="A132" s="3" t="s">
        <v>137</v>
      </c>
      <c r="B132" s="6">
        <v>-44.69</v>
      </c>
      <c r="C132" s="6">
        <v>-53.74</v>
      </c>
      <c r="D132" s="6">
        <v>-24.79</v>
      </c>
      <c r="E132" s="6">
        <v>-16.71</v>
      </c>
      <c r="F132" s="6">
        <v>-15.13</v>
      </c>
      <c r="G132" s="6">
        <v>-15.84</v>
      </c>
      <c r="H132" s="6">
        <v>4.2</v>
      </c>
      <c r="I132" s="6">
        <v>7.18</v>
      </c>
      <c r="J132" s="6">
        <v>-0.73</v>
      </c>
      <c r="K132" s="6">
        <v>-3.06</v>
      </c>
      <c r="L132" s="6">
        <v>-9.89</v>
      </c>
      <c r="M132" s="6">
        <v>-23.35</v>
      </c>
      <c r="N132" s="6">
        <v>-26.65</v>
      </c>
      <c r="O132" s="7">
        <v>-3.78</v>
      </c>
      <c r="P132" s="6">
        <v>-26.65</v>
      </c>
      <c r="Q132" s="6">
        <v>-31.8</v>
      </c>
      <c r="R132" s="6">
        <v>-17.190000000000001</v>
      </c>
      <c r="S132" s="6">
        <v>-3.78</v>
      </c>
    </row>
    <row r="133" spans="1:19" ht="16" x14ac:dyDescent="0.2">
      <c r="A133" s="3" t="s">
        <v>138</v>
      </c>
      <c r="B133" s="6">
        <v>43.46</v>
      </c>
      <c r="C133" s="6">
        <v>46.2</v>
      </c>
      <c r="D133" s="6">
        <v>53.89</v>
      </c>
      <c r="E133" s="6">
        <v>46.55</v>
      </c>
      <c r="F133" s="6">
        <v>47.87</v>
      </c>
      <c r="G133" s="6">
        <v>50.6</v>
      </c>
      <c r="H133" s="6">
        <v>32.909999999999997</v>
      </c>
      <c r="I133" s="6">
        <v>39.79</v>
      </c>
      <c r="J133" s="6">
        <v>39.85</v>
      </c>
      <c r="K133" s="6">
        <v>40.08</v>
      </c>
      <c r="L133" s="6">
        <v>37.92</v>
      </c>
      <c r="M133" s="6">
        <v>18.739999999999998</v>
      </c>
      <c r="N133" s="6">
        <v>10.88</v>
      </c>
      <c r="O133" s="7">
        <v>20.69</v>
      </c>
      <c r="P133" s="6">
        <v>10.88</v>
      </c>
      <c r="Q133" s="6">
        <v>14.83</v>
      </c>
      <c r="R133" s="6">
        <v>16.649999999999999</v>
      </c>
      <c r="S133" s="6">
        <v>20.69</v>
      </c>
    </row>
    <row r="134" spans="1:19" ht="16" x14ac:dyDescent="0.2">
      <c r="A134" s="3" t="s">
        <v>139</v>
      </c>
      <c r="B134" s="6">
        <v>2.29</v>
      </c>
      <c r="C134" s="6">
        <v>2.4900000000000002</v>
      </c>
      <c r="D134" s="6">
        <v>2.8</v>
      </c>
      <c r="E134" s="6">
        <v>2.39</v>
      </c>
      <c r="F134" s="6">
        <v>2.4</v>
      </c>
      <c r="G134" s="6">
        <v>2.48</v>
      </c>
      <c r="H134" s="6">
        <v>2.61</v>
      </c>
      <c r="I134" s="6">
        <v>2.7</v>
      </c>
      <c r="J134" s="6">
        <v>2.75</v>
      </c>
      <c r="K134" s="6">
        <v>2.5499999999999998</v>
      </c>
      <c r="L134" s="6">
        <v>2.41</v>
      </c>
      <c r="M134" s="6">
        <v>1.48</v>
      </c>
      <c r="N134" s="6">
        <v>1.27</v>
      </c>
      <c r="O134" s="7">
        <v>1.33</v>
      </c>
      <c r="P134" s="6">
        <v>1.27</v>
      </c>
      <c r="Q134" s="6">
        <v>1.24</v>
      </c>
      <c r="R134" s="6">
        <v>1.34</v>
      </c>
      <c r="S134" s="6">
        <v>1.33</v>
      </c>
    </row>
    <row r="135" spans="1:19" ht="16" x14ac:dyDescent="0.2">
      <c r="A135" s="3" t="s">
        <v>140</v>
      </c>
      <c r="B135" s="6">
        <v>191.65</v>
      </c>
      <c r="C135" s="6">
        <v>184.74</v>
      </c>
      <c r="D135" s="6">
        <v>251.75</v>
      </c>
      <c r="E135" s="6">
        <v>256.88</v>
      </c>
      <c r="F135" s="6">
        <v>270.48</v>
      </c>
      <c r="G135" s="6">
        <v>280.67</v>
      </c>
      <c r="H135" s="6">
        <v>254.29</v>
      </c>
      <c r="I135" s="6">
        <v>209.68</v>
      </c>
      <c r="J135" s="6">
        <v>193.07</v>
      </c>
      <c r="K135" s="6">
        <v>191.16</v>
      </c>
      <c r="L135" s="6">
        <v>197.29</v>
      </c>
      <c r="M135" s="6">
        <v>176.91</v>
      </c>
      <c r="N135" s="6">
        <v>216.55</v>
      </c>
      <c r="O135" s="7">
        <v>280.42</v>
      </c>
      <c r="P135" s="6">
        <v>219.33</v>
      </c>
      <c r="Q135" s="6">
        <v>256.75</v>
      </c>
      <c r="R135" s="6">
        <v>270.25</v>
      </c>
      <c r="S135" s="6">
        <v>280.42</v>
      </c>
    </row>
    <row r="136" spans="1:19" ht="16" x14ac:dyDescent="0.2">
      <c r="A136" s="3" t="s">
        <v>141</v>
      </c>
      <c r="B136" s="4">
        <v>9245</v>
      </c>
      <c r="C136" s="4">
        <v>9890</v>
      </c>
      <c r="D136" s="4">
        <v>10074</v>
      </c>
      <c r="E136" s="4">
        <v>13225</v>
      </c>
      <c r="F136" s="4">
        <v>14072</v>
      </c>
      <c r="G136" s="4">
        <v>14681</v>
      </c>
      <c r="H136" s="4">
        <v>16647</v>
      </c>
      <c r="I136" s="4">
        <v>19216</v>
      </c>
      <c r="J136" s="4">
        <v>23247</v>
      </c>
      <c r="K136" s="4">
        <v>24900</v>
      </c>
      <c r="L136" s="4">
        <v>28073</v>
      </c>
      <c r="M136" s="4">
        <v>32016</v>
      </c>
      <c r="N136" s="4">
        <v>39086</v>
      </c>
      <c r="O136" s="5">
        <v>39086</v>
      </c>
      <c r="P136" s="4">
        <v>39086</v>
      </c>
      <c r="Q136" s="4">
        <v>39086</v>
      </c>
      <c r="R136" s="4">
        <v>39086</v>
      </c>
      <c r="S136" s="4">
        <v>39086</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1370789230</v>
      </c>
      <c r="C139" s="4">
        <v>1904326716</v>
      </c>
      <c r="D139" s="4">
        <v>1511272245</v>
      </c>
      <c r="E139" s="4">
        <v>1645047682</v>
      </c>
      <c r="F139" s="4">
        <v>1716242541</v>
      </c>
      <c r="G139" s="4">
        <v>1506908840</v>
      </c>
      <c r="H139" s="4">
        <v>1552489748</v>
      </c>
      <c r="I139" s="4">
        <v>2543889144</v>
      </c>
      <c r="J139" s="4">
        <v>2887011586</v>
      </c>
      <c r="K139" s="4">
        <v>2897280181</v>
      </c>
      <c r="L139" s="4">
        <v>4348150602</v>
      </c>
      <c r="M139" s="4">
        <v>6690396337</v>
      </c>
      <c r="N139" s="4">
        <v>6825899962</v>
      </c>
      <c r="O139" s="5">
        <v>8054335054</v>
      </c>
      <c r="P139" s="4">
        <v>1938654630</v>
      </c>
      <c r="Q139" s="4">
        <v>2124876426</v>
      </c>
      <c r="R139" s="4">
        <v>2118395360</v>
      </c>
      <c r="S139" s="4">
        <v>2004637326</v>
      </c>
    </row>
    <row r="140" spans="1:19" ht="16" x14ac:dyDescent="0.2">
      <c r="A140" s="3" t="s">
        <v>143</v>
      </c>
      <c r="B140" s="4">
        <v>203109698</v>
      </c>
      <c r="C140" s="4">
        <v>345467527</v>
      </c>
      <c r="D140" s="4">
        <v>246011865</v>
      </c>
      <c r="E140" s="4">
        <v>442214630</v>
      </c>
      <c r="F140" s="4">
        <v>427220144</v>
      </c>
      <c r="G140" s="4">
        <v>322521075</v>
      </c>
      <c r="H140" s="4">
        <v>376441057</v>
      </c>
      <c r="I140" s="4">
        <v>501332885</v>
      </c>
      <c r="J140" s="4">
        <v>838496535</v>
      </c>
      <c r="K140" s="4">
        <v>929765284</v>
      </c>
      <c r="L140" s="4">
        <v>600521236</v>
      </c>
      <c r="M140" s="4">
        <v>535622905</v>
      </c>
      <c r="N140" s="4">
        <v>934801866</v>
      </c>
      <c r="O140" s="5">
        <v>752665403</v>
      </c>
      <c r="P140" s="4">
        <v>195519696</v>
      </c>
      <c r="Q140" s="4">
        <v>185022219</v>
      </c>
      <c r="R140" s="4">
        <v>197689262</v>
      </c>
      <c r="S140" s="4">
        <v>186551757</v>
      </c>
    </row>
    <row r="141" spans="1:19" ht="16" x14ac:dyDescent="0.2">
      <c r="A141" s="3" t="s">
        <v>144</v>
      </c>
      <c r="B141" s="4">
        <v>142337774</v>
      </c>
      <c r="C141" s="4">
        <v>-49648852</v>
      </c>
      <c r="D141" s="4">
        <v>109690178</v>
      </c>
      <c r="E141" s="4">
        <v>330397399</v>
      </c>
      <c r="F141" s="4">
        <v>245136191</v>
      </c>
      <c r="G141" s="4">
        <v>351959677</v>
      </c>
      <c r="H141" s="4">
        <v>139227289</v>
      </c>
      <c r="I141" s="4">
        <v>242440981</v>
      </c>
      <c r="J141" s="4">
        <v>109284620</v>
      </c>
      <c r="K141" s="4">
        <v>13469979</v>
      </c>
      <c r="L141" s="4">
        <v>63013129</v>
      </c>
      <c r="M141" s="4">
        <v>-455791211</v>
      </c>
      <c r="N141" s="4">
        <v>-400431168</v>
      </c>
      <c r="O141" s="5">
        <v>293167886</v>
      </c>
      <c r="P141" s="4">
        <v>147066671</v>
      </c>
      <c r="Q141" s="4">
        <v>75073607</v>
      </c>
      <c r="R141" s="4">
        <v>107463533</v>
      </c>
      <c r="S141" s="4">
        <v>-30174376</v>
      </c>
    </row>
    <row r="142" spans="1:19" ht="16" x14ac:dyDescent="0.2">
      <c r="A142" s="34" t="s">
        <v>145</v>
      </c>
      <c r="B142" s="30">
        <v>16232677</v>
      </c>
      <c r="C142" s="30">
        <v>16135942</v>
      </c>
      <c r="D142" s="30">
        <v>24653922</v>
      </c>
      <c r="E142" s="30">
        <v>65344761</v>
      </c>
      <c r="F142" s="30">
        <v>67393909</v>
      </c>
      <c r="G142" s="30">
        <v>64200052</v>
      </c>
      <c r="H142" s="30">
        <v>50311679</v>
      </c>
      <c r="I142" s="30">
        <v>63762338</v>
      </c>
      <c r="J142" s="30">
        <v>55213882</v>
      </c>
      <c r="K142" s="30">
        <v>83738368</v>
      </c>
      <c r="L142" s="30">
        <v>65949663</v>
      </c>
      <c r="M142" s="30">
        <v>133621425</v>
      </c>
      <c r="N142" s="30">
        <v>70865217</v>
      </c>
      <c r="O142" s="31">
        <v>120909255</v>
      </c>
      <c r="P142" s="30">
        <v>22412192</v>
      </c>
      <c r="Q142" s="30">
        <v>19882012</v>
      </c>
      <c r="R142" s="30">
        <v>36439411</v>
      </c>
      <c r="S142" s="30">
        <v>43938127</v>
      </c>
    </row>
    <row r="143" spans="1:19" ht="16" x14ac:dyDescent="0.2">
      <c r="A143" s="12" t="s">
        <v>198</v>
      </c>
      <c r="B143" s="20">
        <f t="shared" ref="B143:S143" si="10">B142/B2</f>
        <v>2.6841766151697796E-3</v>
      </c>
      <c r="C143" s="20">
        <f t="shared" si="10"/>
        <v>2.1995971018294496E-3</v>
      </c>
      <c r="D143" s="20">
        <f t="shared" si="10"/>
        <v>3.9522349931221997E-3</v>
      </c>
      <c r="E143" s="20">
        <f t="shared" si="10"/>
        <v>9.0408107740651833E-3</v>
      </c>
      <c r="F143" s="20">
        <f t="shared" si="10"/>
        <v>9.5103084094915469E-3</v>
      </c>
      <c r="G143" s="20">
        <f t="shared" si="10"/>
        <v>9.3997518513495026E-3</v>
      </c>
      <c r="H143" s="20">
        <f t="shared" si="10"/>
        <v>7.0200741093854029E-3</v>
      </c>
      <c r="I143" s="20">
        <f t="shared" si="10"/>
        <v>5.8655885266886811E-3</v>
      </c>
      <c r="J143" s="20">
        <f t="shared" si="10"/>
        <v>4.413377173032227E-3</v>
      </c>
      <c r="K143" s="20">
        <f t="shared" si="10"/>
        <v>6.3113367204033427E-3</v>
      </c>
      <c r="L143" s="20">
        <f t="shared" si="10"/>
        <v>3.8559215933254504E-3</v>
      </c>
      <c r="M143" s="20">
        <f t="shared" si="10"/>
        <v>6.313470511591434E-3</v>
      </c>
      <c r="N143" s="20">
        <f t="shared" si="10"/>
        <v>3.1360102593652774E-3</v>
      </c>
      <c r="O143" s="20">
        <f t="shared" si="10"/>
        <v>4.268887599976917E-3</v>
      </c>
      <c r="P143" s="20">
        <f t="shared" si="10"/>
        <v>3.2658392842523556E-3</v>
      </c>
      <c r="Q143" s="20">
        <f t="shared" si="10"/>
        <v>2.7126382589661713E-3</v>
      </c>
      <c r="R143" s="20">
        <f t="shared" si="10"/>
        <v>4.8389666738227919E-3</v>
      </c>
      <c r="S143" s="20">
        <f t="shared" si="10"/>
        <v>6.2190919107842774E-3</v>
      </c>
    </row>
    <row r="144" spans="1:19" ht="16" x14ac:dyDescent="0.2">
      <c r="A144" s="3" t="s">
        <v>146</v>
      </c>
      <c r="B144" s="4">
        <v>37697375</v>
      </c>
      <c r="C144" s="4">
        <v>65652383</v>
      </c>
      <c r="D144" s="4">
        <v>-95451549</v>
      </c>
      <c r="E144" s="4">
        <v>35851293</v>
      </c>
      <c r="F144" s="4">
        <v>-36417759</v>
      </c>
      <c r="G144" s="4">
        <v>49209177</v>
      </c>
      <c r="H144" s="4">
        <v>-632851</v>
      </c>
      <c r="I144" s="4">
        <v>-9126060</v>
      </c>
      <c r="J144" s="4">
        <v>-300304076</v>
      </c>
      <c r="K144" s="4">
        <v>-391527383</v>
      </c>
      <c r="L144" s="4">
        <v>-258537362</v>
      </c>
      <c r="M144" s="4">
        <v>-477170639</v>
      </c>
      <c r="N144" s="4">
        <v>-826796445</v>
      </c>
      <c r="O144" s="5">
        <v>-183904882</v>
      </c>
      <c r="P144" s="4">
        <v>-94985005</v>
      </c>
      <c r="Q144" s="4">
        <v>13797899</v>
      </c>
      <c r="R144" s="4">
        <v>45276514</v>
      </c>
      <c r="S144" s="4">
        <v>-147060381</v>
      </c>
    </row>
    <row r="145" spans="1:19" ht="16" x14ac:dyDescent="0.2">
      <c r="A145" s="3" t="s">
        <v>147</v>
      </c>
      <c r="B145" s="4">
        <v>11537275</v>
      </c>
      <c r="C145" s="4">
        <v>15930835</v>
      </c>
      <c r="D145" s="4">
        <v>4350692</v>
      </c>
      <c r="E145" s="4">
        <v>17991788</v>
      </c>
      <c r="F145" s="4">
        <v>12739439</v>
      </c>
      <c r="G145" s="4">
        <v>2498479</v>
      </c>
      <c r="H145" s="4">
        <v>3691633</v>
      </c>
      <c r="I145" s="4">
        <v>10807176</v>
      </c>
      <c r="J145" s="4">
        <v>17604426</v>
      </c>
      <c r="K145" s="4">
        <v>5275742</v>
      </c>
      <c r="L145" s="4">
        <v>3303601</v>
      </c>
      <c r="M145" s="4">
        <v>-18081538</v>
      </c>
      <c r="N145" s="4">
        <v>41942817</v>
      </c>
      <c r="O145" s="5">
        <v>43620502</v>
      </c>
      <c r="P145" s="4">
        <v>14621287</v>
      </c>
      <c r="Q145" s="4">
        <v>3476636</v>
      </c>
      <c r="R145" s="4">
        <v>4254901</v>
      </c>
      <c r="S145" s="4">
        <v>21598501</v>
      </c>
    </row>
    <row r="146" spans="1:19" ht="16" x14ac:dyDescent="0.2">
      <c r="A146" s="3" t="s">
        <v>148</v>
      </c>
      <c r="B146" s="4">
        <v>76870447</v>
      </c>
      <c r="C146" s="4">
        <v>-147368011</v>
      </c>
      <c r="D146" s="4">
        <v>176137112</v>
      </c>
      <c r="E146" s="4">
        <v>211209558</v>
      </c>
      <c r="F146" s="4">
        <v>201420602</v>
      </c>
      <c r="G146" s="4">
        <v>236051969</v>
      </c>
      <c r="H146" s="4">
        <v>85856828</v>
      </c>
      <c r="I146" s="4">
        <v>176997526</v>
      </c>
      <c r="J146" s="4">
        <v>336770387</v>
      </c>
      <c r="K146" s="4">
        <v>315983252</v>
      </c>
      <c r="L146" s="4">
        <v>252297227</v>
      </c>
      <c r="M146" s="4">
        <v>-94160460</v>
      </c>
      <c r="N146" s="4">
        <v>313557242</v>
      </c>
      <c r="O146" s="5">
        <v>312543012</v>
      </c>
      <c r="P146" s="4">
        <v>205018197</v>
      </c>
      <c r="Q146" s="4">
        <v>37917061</v>
      </c>
      <c r="R146" s="4">
        <v>21492707</v>
      </c>
      <c r="S146" s="4">
        <v>51349377</v>
      </c>
    </row>
    <row r="147" spans="1:19" ht="16" x14ac:dyDescent="0.2">
      <c r="A147" s="3" t="s">
        <v>149</v>
      </c>
      <c r="B147" s="4">
        <v>-455185737</v>
      </c>
      <c r="C147" s="4">
        <v>614901405</v>
      </c>
      <c r="D147" s="4">
        <v>-939485826</v>
      </c>
      <c r="E147" s="4">
        <v>-514783940</v>
      </c>
      <c r="F147" s="4">
        <v>-725579312</v>
      </c>
      <c r="G147" s="4">
        <v>18901538</v>
      </c>
      <c r="H147" s="4">
        <v>-311046421</v>
      </c>
      <c r="I147" s="4">
        <v>-1127908932</v>
      </c>
      <c r="J147" s="4">
        <v>-60700976</v>
      </c>
      <c r="K147" s="4">
        <v>262327836</v>
      </c>
      <c r="L147" s="4">
        <v>650442316</v>
      </c>
      <c r="M147" s="4">
        <v>5563654990</v>
      </c>
      <c r="N147" s="4">
        <v>2709100419</v>
      </c>
      <c r="O147" s="5">
        <v>-1056950165</v>
      </c>
      <c r="P147" s="4">
        <v>3429065414</v>
      </c>
      <c r="Q147" s="4">
        <v>-1587953464</v>
      </c>
      <c r="R147" s="4">
        <v>-2003840324</v>
      </c>
      <c r="S147" s="4">
        <v>-966638787</v>
      </c>
    </row>
    <row r="148" spans="1:19" ht="16" x14ac:dyDescent="0.2">
      <c r="A148" s="3" t="s">
        <v>150</v>
      </c>
      <c r="B148" s="4">
        <v>-982282234</v>
      </c>
      <c r="C148" s="4">
        <v>298453909</v>
      </c>
      <c r="D148" s="4">
        <v>-8305867</v>
      </c>
      <c r="E148" s="4">
        <v>-251986993</v>
      </c>
      <c r="F148" s="4">
        <v>-123299573</v>
      </c>
      <c r="G148" s="4">
        <v>101251412</v>
      </c>
      <c r="H148" s="4">
        <v>131472751</v>
      </c>
      <c r="I148" s="4">
        <v>-1101851630</v>
      </c>
      <c r="J148" s="4">
        <v>-530076132</v>
      </c>
      <c r="K148" s="4">
        <v>-393211130</v>
      </c>
      <c r="L148" s="4">
        <v>-756035191</v>
      </c>
      <c r="M148" s="4">
        <v>-1378973110</v>
      </c>
      <c r="N148" s="4">
        <v>-2268754204</v>
      </c>
      <c r="O148" s="5" t="s">
        <v>24</v>
      </c>
      <c r="P148" s="4" t="s">
        <v>24</v>
      </c>
      <c r="Q148" s="4" t="s">
        <v>24</v>
      </c>
      <c r="R148" s="4" t="s">
        <v>24</v>
      </c>
      <c r="S148" s="4" t="s">
        <v>24</v>
      </c>
    </row>
    <row r="149" spans="1:19" ht="16" x14ac:dyDescent="0.2">
      <c r="A149" s="3" t="s">
        <v>151</v>
      </c>
      <c r="B149" s="4">
        <v>-947442347</v>
      </c>
      <c r="C149" s="4">
        <v>-343407371</v>
      </c>
      <c r="D149" s="4">
        <v>-465017797</v>
      </c>
      <c r="E149" s="4">
        <v>-718059309</v>
      </c>
      <c r="F149" s="4">
        <v>-355034426</v>
      </c>
      <c r="G149" s="4">
        <v>-95351743</v>
      </c>
      <c r="H149" s="4">
        <v>-46052590</v>
      </c>
      <c r="I149" s="4">
        <v>-285549605</v>
      </c>
      <c r="J149" s="4">
        <v>-589519650</v>
      </c>
      <c r="K149" s="4">
        <v>-454275034</v>
      </c>
      <c r="L149" s="4">
        <v>-864686955</v>
      </c>
      <c r="M149" s="4">
        <v>-549496789</v>
      </c>
      <c r="N149" s="4">
        <v>-2220834803</v>
      </c>
      <c r="O149" s="5" t="s">
        <v>24</v>
      </c>
      <c r="P149" s="4" t="s">
        <v>24</v>
      </c>
      <c r="Q149" s="4" t="s">
        <v>24</v>
      </c>
      <c r="R149" s="4" t="s">
        <v>24</v>
      </c>
      <c r="S149" s="4" t="s">
        <v>24</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469850150</v>
      </c>
      <c r="C151" s="4">
        <v>789292900</v>
      </c>
      <c r="D151" s="4">
        <v>-491462095</v>
      </c>
      <c r="E151" s="4">
        <v>528487573</v>
      </c>
      <c r="F151" s="4">
        <v>-120603574</v>
      </c>
      <c r="G151" s="4">
        <v>172021379</v>
      </c>
      <c r="H151" s="4">
        <v>-235223450</v>
      </c>
      <c r="I151" s="4">
        <v>909844137</v>
      </c>
      <c r="J151" s="4">
        <v>383639314</v>
      </c>
      <c r="K151" s="4">
        <v>160629497</v>
      </c>
      <c r="L151" s="4">
        <v>539221085</v>
      </c>
      <c r="M151" s="4">
        <v>1212486500</v>
      </c>
      <c r="N151" s="4">
        <v>729997119</v>
      </c>
      <c r="O151" s="5" t="s">
        <v>24</v>
      </c>
      <c r="P151" s="4" t="s">
        <v>24</v>
      </c>
      <c r="Q151" s="4" t="s">
        <v>24</v>
      </c>
      <c r="R151" s="4" t="s">
        <v>24</v>
      </c>
      <c r="S151" s="4" t="s">
        <v>24</v>
      </c>
    </row>
    <row r="152" spans="1:19" ht="16" x14ac:dyDescent="0.2">
      <c r="A152" s="3" t="s">
        <v>154</v>
      </c>
      <c r="B152" s="4">
        <v>1004688695</v>
      </c>
      <c r="C152" s="4">
        <v>-129438033</v>
      </c>
      <c r="D152" s="4">
        <v>25299934</v>
      </c>
      <c r="E152" s="4">
        <v>-73225211</v>
      </c>
      <c r="F152" s="4">
        <v>-126641739</v>
      </c>
      <c r="G152" s="4">
        <v>-159019510</v>
      </c>
      <c r="H152" s="4">
        <v>-161243132</v>
      </c>
      <c r="I152" s="4">
        <v>-650351834</v>
      </c>
      <c r="J152" s="4">
        <v>675255492</v>
      </c>
      <c r="K152" s="4">
        <v>949184503</v>
      </c>
      <c r="L152" s="4">
        <v>1731943376</v>
      </c>
      <c r="M152" s="4">
        <v>6279638390</v>
      </c>
      <c r="N152" s="4">
        <v>6468692307</v>
      </c>
      <c r="O152" s="5">
        <v>-1056950165</v>
      </c>
      <c r="P152" s="4">
        <v>3429065414</v>
      </c>
      <c r="Q152" s="4">
        <v>-1587953464</v>
      </c>
      <c r="R152" s="4">
        <v>-2003840324</v>
      </c>
      <c r="S152" s="4">
        <v>-966638787</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1261050965</v>
      </c>
      <c r="C154" s="4">
        <v>2815046796</v>
      </c>
      <c r="D154" s="4">
        <v>927488462</v>
      </c>
      <c r="E154" s="4">
        <v>1902875770</v>
      </c>
      <c r="F154" s="4">
        <v>1663019565</v>
      </c>
      <c r="G154" s="4">
        <v>2200291130</v>
      </c>
      <c r="H154" s="4">
        <v>1757111673</v>
      </c>
      <c r="I154" s="4">
        <v>2159754078</v>
      </c>
      <c r="J154" s="4">
        <v>3774091765</v>
      </c>
      <c r="K154" s="4">
        <v>4102843280</v>
      </c>
      <c r="L154" s="4">
        <v>5662127283</v>
      </c>
      <c r="M154" s="4">
        <v>12333883022</v>
      </c>
      <c r="N154" s="4">
        <v>10069371079</v>
      </c>
      <c r="O154" s="5">
        <v>8043218179</v>
      </c>
      <c r="P154" s="4">
        <v>5710306411</v>
      </c>
      <c r="Q154" s="4">
        <v>797018788</v>
      </c>
      <c r="R154" s="4">
        <v>419707831</v>
      </c>
      <c r="S154" s="4">
        <v>1194375920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5097866</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v>5097866</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-172656659</v>
      </c>
      <c r="C159" s="4">
        <v>-517939065</v>
      </c>
      <c r="D159" s="4">
        <v>-236651285</v>
      </c>
      <c r="E159" s="4">
        <v>-741988648</v>
      </c>
      <c r="F159" s="4">
        <v>-854769423</v>
      </c>
      <c r="G159" s="4">
        <v>-405079517</v>
      </c>
      <c r="H159" s="4">
        <v>-342478036</v>
      </c>
      <c r="I159" s="4">
        <v>-429885444</v>
      </c>
      <c r="J159" s="4">
        <v>-958298085</v>
      </c>
      <c r="K159" s="4">
        <v>-1337456641</v>
      </c>
      <c r="L159" s="4">
        <v>-1224534745</v>
      </c>
      <c r="M159" s="4">
        <v>-1069312564</v>
      </c>
      <c r="N159" s="4">
        <v>-2361177816</v>
      </c>
      <c r="O159" s="5">
        <v>-2180813332</v>
      </c>
      <c r="P159" s="4">
        <v>-497230494</v>
      </c>
      <c r="Q159" s="4">
        <v>-586030445</v>
      </c>
      <c r="R159" s="4">
        <v>-593940585</v>
      </c>
      <c r="S159" s="4">
        <v>-540068395</v>
      </c>
    </row>
    <row r="160" spans="1:19" ht="16" x14ac:dyDescent="0.2">
      <c r="A160" s="3" t="s">
        <v>162</v>
      </c>
      <c r="B160" s="4">
        <v>-172656659</v>
      </c>
      <c r="C160" s="4">
        <v>-390609219</v>
      </c>
      <c r="D160" s="4">
        <v>-226631509</v>
      </c>
      <c r="E160" s="4">
        <v>-290475666</v>
      </c>
      <c r="F160" s="4">
        <v>-433537832</v>
      </c>
      <c r="G160" s="4">
        <v>-403884593</v>
      </c>
      <c r="H160" s="4">
        <v>-333618118</v>
      </c>
      <c r="I160" s="4">
        <v>-406950215</v>
      </c>
      <c r="J160" s="4">
        <v>-656164977</v>
      </c>
      <c r="K160" s="4">
        <v>-860507143</v>
      </c>
      <c r="L160" s="4">
        <v>-1177060776</v>
      </c>
      <c r="M160" s="4">
        <v>-1024279301</v>
      </c>
      <c r="N160" s="4">
        <v>-1367997525</v>
      </c>
      <c r="O160" s="5">
        <v>-2144180581</v>
      </c>
      <c r="P160" s="4">
        <v>-484103353</v>
      </c>
      <c r="Q160" s="4">
        <v>-577990724</v>
      </c>
      <c r="R160" s="4">
        <v>-586739983</v>
      </c>
      <c r="S160" s="4">
        <v>-531280770</v>
      </c>
    </row>
    <row r="161" spans="1:19" ht="16" x14ac:dyDescent="0.2">
      <c r="A161" s="3" t="s">
        <v>163</v>
      </c>
      <c r="B161" s="4" t="s">
        <v>24</v>
      </c>
      <c r="C161" s="4">
        <v>-127329846</v>
      </c>
      <c r="D161" s="4">
        <v>-10019776</v>
      </c>
      <c r="E161" s="4">
        <v>-451512982</v>
      </c>
      <c r="F161" s="4">
        <v>-421231592</v>
      </c>
      <c r="G161" s="4">
        <v>-1194925</v>
      </c>
      <c r="H161" s="4">
        <v>-8859918</v>
      </c>
      <c r="I161" s="4">
        <v>-22935229</v>
      </c>
      <c r="J161" s="4">
        <v>-302133107</v>
      </c>
      <c r="K161" s="4">
        <v>-476949498</v>
      </c>
      <c r="L161" s="4">
        <v>-47473969</v>
      </c>
      <c r="M161" s="4">
        <v>-45033263</v>
      </c>
      <c r="N161" s="4">
        <v>-993180291</v>
      </c>
      <c r="O161" s="5">
        <v>-36632751</v>
      </c>
      <c r="P161" s="4">
        <v>-13127141</v>
      </c>
      <c r="Q161" s="4">
        <v>-8039721</v>
      </c>
      <c r="R161" s="4">
        <v>-7200602</v>
      </c>
      <c r="S161" s="4">
        <v>-8787625</v>
      </c>
    </row>
    <row r="162" spans="1:19" ht="16" x14ac:dyDescent="0.2">
      <c r="A162" s="3" t="s">
        <v>164</v>
      </c>
      <c r="B162" s="4" t="s">
        <v>24</v>
      </c>
      <c r="C162" s="4" t="s">
        <v>24</v>
      </c>
      <c r="D162" s="4">
        <v>-1226104151</v>
      </c>
      <c r="E162" s="4">
        <v>399844294</v>
      </c>
      <c r="F162" s="4">
        <v>417492527</v>
      </c>
      <c r="G162" s="4">
        <v>-854914401</v>
      </c>
      <c r="H162" s="4">
        <v>-226771721</v>
      </c>
      <c r="I162" s="4">
        <v>177357766</v>
      </c>
      <c r="J162" s="4">
        <v>129861222</v>
      </c>
      <c r="K162" s="4">
        <v>-305880768</v>
      </c>
      <c r="L162" s="4">
        <v>-142421907</v>
      </c>
      <c r="M162" s="4">
        <v>754762043</v>
      </c>
      <c r="N162" s="4">
        <v>566067941</v>
      </c>
      <c r="O162" s="5">
        <v>215985008</v>
      </c>
      <c r="P162" s="4">
        <v>108752495</v>
      </c>
      <c r="Q162" s="4">
        <v>111795574</v>
      </c>
      <c r="R162" s="4">
        <v>-545500</v>
      </c>
      <c r="S162" s="4">
        <v>-317625</v>
      </c>
    </row>
    <row r="163" spans="1:19" ht="16" x14ac:dyDescent="0.2">
      <c r="A163" s="3" t="s">
        <v>165</v>
      </c>
      <c r="B163" s="4" t="s">
        <v>24</v>
      </c>
      <c r="C163" s="4" t="s">
        <v>24</v>
      </c>
      <c r="D163" s="4">
        <v>593276202</v>
      </c>
      <c r="E163" s="4">
        <v>1646683299</v>
      </c>
      <c r="F163" s="4">
        <v>1028274100</v>
      </c>
      <c r="G163" s="4">
        <v>363800296</v>
      </c>
      <c r="H163" s="4">
        <v>2447025081</v>
      </c>
      <c r="I163" s="4">
        <v>1500996663</v>
      </c>
      <c r="J163" s="4">
        <v>1182125789</v>
      </c>
      <c r="K163" s="4">
        <v>1143825696</v>
      </c>
      <c r="L163" s="4">
        <v>1662934824</v>
      </c>
      <c r="M163" s="4">
        <v>2076988692</v>
      </c>
      <c r="N163" s="4">
        <v>922848697</v>
      </c>
      <c r="O163" s="5">
        <v>244359509</v>
      </c>
      <c r="P163" s="4">
        <v>113234933</v>
      </c>
      <c r="Q163" s="4">
        <v>131568941</v>
      </c>
      <c r="R163" s="4" t="s">
        <v>24</v>
      </c>
      <c r="S163" s="4">
        <v>3811500</v>
      </c>
    </row>
    <row r="164" spans="1:19" ht="16" x14ac:dyDescent="0.2">
      <c r="A164" s="3" t="s">
        <v>166</v>
      </c>
      <c r="B164" s="4" t="s">
        <v>24</v>
      </c>
      <c r="C164" s="4" t="s">
        <v>24</v>
      </c>
      <c r="D164" s="4">
        <v>-1819380353</v>
      </c>
      <c r="E164" s="4">
        <v>-1246839005</v>
      </c>
      <c r="F164" s="4">
        <v>-610781573</v>
      </c>
      <c r="G164" s="4">
        <v>-1218714697</v>
      </c>
      <c r="H164" s="4">
        <v>-2673796802</v>
      </c>
      <c r="I164" s="4">
        <v>-1323638897</v>
      </c>
      <c r="J164" s="4">
        <v>-1052264567</v>
      </c>
      <c r="K164" s="4">
        <v>-1449706464</v>
      </c>
      <c r="L164" s="4">
        <v>-1805356730</v>
      </c>
      <c r="M164" s="4">
        <v>-1322226649</v>
      </c>
      <c r="N164" s="4">
        <v>-356780756</v>
      </c>
      <c r="O164" s="5">
        <v>-28374501</v>
      </c>
      <c r="P164" s="4">
        <v>-4482438</v>
      </c>
      <c r="Q164" s="4">
        <v>-19773367</v>
      </c>
      <c r="R164" s="4">
        <v>-545500</v>
      </c>
      <c r="S164" s="4">
        <v>-4129125</v>
      </c>
    </row>
    <row r="165" spans="1:19" ht="16" x14ac:dyDescent="0.2">
      <c r="A165" s="3" t="s">
        <v>167</v>
      </c>
      <c r="B165" s="4" t="s">
        <v>24</v>
      </c>
      <c r="C165" s="4" t="s">
        <v>24</v>
      </c>
      <c r="D165" s="4">
        <v>-13579433</v>
      </c>
      <c r="E165" s="4">
        <v>-611409361</v>
      </c>
      <c r="F165" s="4" t="s">
        <v>24</v>
      </c>
      <c r="G165" s="4" t="s">
        <v>24</v>
      </c>
      <c r="H165" s="4">
        <v>-2785916959</v>
      </c>
      <c r="I165" s="4">
        <v>-1224453037</v>
      </c>
      <c r="J165" s="4" t="s">
        <v>24</v>
      </c>
      <c r="K165" s="4" t="s">
        <v>24</v>
      </c>
      <c r="L165" s="4">
        <v>-272608255</v>
      </c>
      <c r="M165" s="4">
        <v>374139991</v>
      </c>
      <c r="N165" s="4" t="s">
        <v>24</v>
      </c>
      <c r="O165" s="5">
        <v>-29221501</v>
      </c>
      <c r="P165" s="4" t="s">
        <v>24</v>
      </c>
      <c r="Q165" s="4" t="s">
        <v>24</v>
      </c>
      <c r="R165" s="4" t="s">
        <v>24</v>
      </c>
      <c r="S165" s="4">
        <v>-29221501</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v>374139991</v>
      </c>
      <c r="N166" s="4" t="s">
        <v>24</v>
      </c>
      <c r="O166" s="5" t="s">
        <v>24</v>
      </c>
      <c r="P166" s="4" t="s">
        <v>24</v>
      </c>
      <c r="Q166" s="4" t="s">
        <v>24</v>
      </c>
      <c r="R166" s="4" t="s">
        <v>24</v>
      </c>
      <c r="S166" s="4" t="s">
        <v>24</v>
      </c>
    </row>
    <row r="167" spans="1:19" ht="16" x14ac:dyDescent="0.2">
      <c r="A167" s="3" t="s">
        <v>169</v>
      </c>
      <c r="B167" s="4" t="s">
        <v>24</v>
      </c>
      <c r="C167" s="4" t="s">
        <v>24</v>
      </c>
      <c r="D167" s="4">
        <v>-13579433</v>
      </c>
      <c r="E167" s="4">
        <v>-611409361</v>
      </c>
      <c r="F167" s="4" t="s">
        <v>24</v>
      </c>
      <c r="G167" s="4" t="s">
        <v>24</v>
      </c>
      <c r="H167" s="4">
        <v>-2785916959</v>
      </c>
      <c r="I167" s="4">
        <v>-1224453037</v>
      </c>
      <c r="J167" s="4" t="s">
        <v>24</v>
      </c>
      <c r="K167" s="4" t="s">
        <v>24</v>
      </c>
      <c r="L167" s="4">
        <v>-272608255</v>
      </c>
      <c r="M167" s="4" t="s">
        <v>24</v>
      </c>
      <c r="N167" s="4" t="s">
        <v>24</v>
      </c>
      <c r="O167" s="5">
        <v>-29221501</v>
      </c>
      <c r="P167" s="4" t="s">
        <v>24</v>
      </c>
      <c r="Q167" s="4" t="s">
        <v>24</v>
      </c>
      <c r="R167" s="4" t="s">
        <v>24</v>
      </c>
      <c r="S167" s="4">
        <v>-29221501</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t="s">
        <v>24</v>
      </c>
      <c r="F169" s="4" t="s">
        <v>24</v>
      </c>
      <c r="G169" s="4" t="s">
        <v>24</v>
      </c>
      <c r="H169" s="4">
        <v>-7805166</v>
      </c>
      <c r="I169" s="4">
        <v>24856505</v>
      </c>
      <c r="J169" s="4">
        <v>5029836</v>
      </c>
      <c r="K169" s="4">
        <v>1010248</v>
      </c>
      <c r="L169" s="4">
        <v>-14927382</v>
      </c>
      <c r="M169" s="4">
        <v>-141468130</v>
      </c>
      <c r="N169" s="4">
        <v>-256139340</v>
      </c>
      <c r="O169" s="5">
        <v>-585488772</v>
      </c>
      <c r="P169" s="4" t="s">
        <v>24</v>
      </c>
      <c r="Q169" s="4" t="s">
        <v>24</v>
      </c>
      <c r="R169" s="4" t="s">
        <v>24</v>
      </c>
      <c r="S169" s="4">
        <v>-585488772</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-167558793</v>
      </c>
      <c r="C171" s="4">
        <v>-517939065</v>
      </c>
      <c r="D171" s="4">
        <v>-1476334869</v>
      </c>
      <c r="E171" s="4">
        <v>-953553715</v>
      </c>
      <c r="F171" s="4">
        <v>-437276896</v>
      </c>
      <c r="G171" s="4">
        <v>-1259993918</v>
      </c>
      <c r="H171" s="4">
        <v>-3362971883</v>
      </c>
      <c r="I171" s="4">
        <v>-1452124211</v>
      </c>
      <c r="J171" s="4">
        <v>-823407027</v>
      </c>
      <c r="K171" s="4">
        <v>-1642327160</v>
      </c>
      <c r="L171" s="4">
        <v>-1654492288</v>
      </c>
      <c r="M171" s="4">
        <v>-81878661</v>
      </c>
      <c r="N171" s="4">
        <v>-2051249214</v>
      </c>
      <c r="O171" s="5">
        <v>-2579538597</v>
      </c>
      <c r="P171" s="4">
        <v>-388477999</v>
      </c>
      <c r="Q171" s="4">
        <v>-474234871</v>
      </c>
      <c r="R171" s="4">
        <v>-594486085</v>
      </c>
      <c r="S171" s="4">
        <v>-1155096294</v>
      </c>
    </row>
    <row r="172" spans="1:19" ht="16" x14ac:dyDescent="0.2">
      <c r="A172" s="3" t="s">
        <v>173</v>
      </c>
      <c r="B172" s="4">
        <v>-116714291</v>
      </c>
      <c r="C172" s="4">
        <v>-224118235</v>
      </c>
      <c r="D172" s="4">
        <v>-249044166</v>
      </c>
      <c r="E172" s="4">
        <v>-297752578</v>
      </c>
      <c r="F172" s="4">
        <v>-324248254</v>
      </c>
      <c r="G172" s="4">
        <v>-328387069</v>
      </c>
      <c r="H172" s="4">
        <v>-470314002</v>
      </c>
      <c r="I172" s="4">
        <v>-620451980</v>
      </c>
      <c r="J172" s="4">
        <v>-682571617</v>
      </c>
      <c r="K172" s="4">
        <v>-1488095904</v>
      </c>
      <c r="L172" s="4">
        <v>-1304800012</v>
      </c>
      <c r="M172" s="4">
        <v>-1556035713</v>
      </c>
      <c r="N172" s="4">
        <v>-2731939511</v>
      </c>
      <c r="O172" s="5">
        <v>-2454923718</v>
      </c>
      <c r="P172" s="4">
        <v>-577487487</v>
      </c>
      <c r="Q172" s="4">
        <v>-587877408</v>
      </c>
      <c r="R172" s="4">
        <v>-726715326</v>
      </c>
      <c r="S172" s="4">
        <v>-603911023</v>
      </c>
    </row>
    <row r="173" spans="1:19" ht="16" x14ac:dyDescent="0.2">
      <c r="A173" s="3" t="s">
        <v>174</v>
      </c>
      <c r="B173" s="4">
        <v>-1878161</v>
      </c>
      <c r="C173" s="4">
        <v>-3293394</v>
      </c>
      <c r="D173" s="4">
        <v>-3823336</v>
      </c>
      <c r="E173" s="4">
        <v>507140496</v>
      </c>
      <c r="F173" s="4">
        <v>-4995099</v>
      </c>
      <c r="G173" s="4">
        <v>-3910663</v>
      </c>
      <c r="H173" s="4">
        <v>2347772900</v>
      </c>
      <c r="I173" s="4">
        <v>-291793751</v>
      </c>
      <c r="J173" s="4">
        <v>-3200805</v>
      </c>
      <c r="K173" s="4">
        <v>-86320114</v>
      </c>
      <c r="L173" s="4">
        <v>1814533400</v>
      </c>
      <c r="M173" s="4">
        <v>-13646443</v>
      </c>
      <c r="N173" s="4">
        <v>-80683892</v>
      </c>
      <c r="O173" s="5">
        <v>258758510</v>
      </c>
      <c r="P173" s="4">
        <v>-853798</v>
      </c>
      <c r="Q173" s="4">
        <v>-1629673</v>
      </c>
      <c r="R173" s="4">
        <v>1087836439</v>
      </c>
      <c r="S173" s="4">
        <v>-794486030</v>
      </c>
    </row>
    <row r="174" spans="1:19" ht="16" x14ac:dyDescent="0.2">
      <c r="A174" s="3" t="s">
        <v>175</v>
      </c>
      <c r="B174" s="4" t="s">
        <v>24</v>
      </c>
      <c r="C174" s="4" t="s">
        <v>24</v>
      </c>
      <c r="D174" s="4" t="s">
        <v>24</v>
      </c>
      <c r="E174" s="4">
        <v>1020290198</v>
      </c>
      <c r="F174" s="4" t="s">
        <v>24</v>
      </c>
      <c r="G174" s="4" t="s">
        <v>24</v>
      </c>
      <c r="H174" s="4">
        <v>2352730235</v>
      </c>
      <c r="I174" s="4" t="s">
        <v>24</v>
      </c>
      <c r="J174" s="4" t="s">
        <v>24</v>
      </c>
      <c r="K174" s="4" t="s">
        <v>24</v>
      </c>
      <c r="L174" s="4">
        <v>1818571134</v>
      </c>
      <c r="M174" s="4" t="s">
        <v>24</v>
      </c>
      <c r="N174" s="4">
        <v>528927737</v>
      </c>
      <c r="O174" s="5">
        <v>1056420790</v>
      </c>
      <c r="P174" s="4" t="s">
        <v>24</v>
      </c>
      <c r="Q174" s="4" t="s">
        <v>24</v>
      </c>
      <c r="R174" s="4">
        <v>1088600139</v>
      </c>
      <c r="S174" s="4" t="s">
        <v>24</v>
      </c>
    </row>
    <row r="175" spans="1:19" ht="16" x14ac:dyDescent="0.2">
      <c r="A175" s="3" t="s">
        <v>176</v>
      </c>
      <c r="B175" s="4">
        <v>-1878161</v>
      </c>
      <c r="C175" s="4">
        <v>-3293394</v>
      </c>
      <c r="D175" s="4">
        <v>-3823336</v>
      </c>
      <c r="E175" s="4">
        <v>-513149701</v>
      </c>
      <c r="F175" s="4">
        <v>-4995099</v>
      </c>
      <c r="G175" s="4">
        <v>-3910663</v>
      </c>
      <c r="H175" s="4">
        <v>-4957335</v>
      </c>
      <c r="I175" s="4">
        <v>-291793751</v>
      </c>
      <c r="J175" s="4">
        <v>-3200805</v>
      </c>
      <c r="K175" s="4">
        <v>-86320114</v>
      </c>
      <c r="L175" s="4">
        <v>-4037734</v>
      </c>
      <c r="M175" s="4">
        <v>-13646443</v>
      </c>
      <c r="N175" s="4">
        <v>-609611629</v>
      </c>
      <c r="O175" s="5">
        <v>-797662280</v>
      </c>
      <c r="P175" s="4">
        <v>-853798</v>
      </c>
      <c r="Q175" s="4">
        <v>-1629673</v>
      </c>
      <c r="R175" s="4">
        <v>-763700</v>
      </c>
      <c r="S175" s="4">
        <v>-794486030</v>
      </c>
    </row>
    <row r="176" spans="1:19" ht="16" x14ac:dyDescent="0.2">
      <c r="A176" s="3" t="s">
        <v>177</v>
      </c>
      <c r="B176" s="4">
        <v>41587851</v>
      </c>
      <c r="C176" s="4">
        <v>-865042254</v>
      </c>
      <c r="D176" s="4">
        <v>4446011858</v>
      </c>
      <c r="E176" s="4">
        <v>-369533706</v>
      </c>
      <c r="F176" s="4">
        <v>-799023486</v>
      </c>
      <c r="G176" s="4">
        <v>-577583211</v>
      </c>
      <c r="H176" s="4">
        <v>192703225</v>
      </c>
      <c r="I176" s="4">
        <v>-539638320</v>
      </c>
      <c r="J176" s="4">
        <v>-1285351743</v>
      </c>
      <c r="K176" s="4">
        <v>-429692322</v>
      </c>
      <c r="L176" s="4">
        <v>-1431070981</v>
      </c>
      <c r="M176" s="4">
        <v>-9679194891</v>
      </c>
      <c r="N176" s="4">
        <v>-4864406241</v>
      </c>
      <c r="O176" s="5">
        <v>-1315496925</v>
      </c>
      <c r="P176" s="4">
        <v>-337356856</v>
      </c>
      <c r="Q176" s="4">
        <v>-405788601</v>
      </c>
      <c r="R176" s="4">
        <v>-510042659</v>
      </c>
      <c r="S176" s="4">
        <v>-90417253</v>
      </c>
    </row>
    <row r="177" spans="1:19" ht="16" x14ac:dyDescent="0.2">
      <c r="A177" s="3" t="s">
        <v>178</v>
      </c>
      <c r="B177" s="4">
        <v>41587851</v>
      </c>
      <c r="C177" s="4">
        <v>44245972</v>
      </c>
      <c r="D177" s="4">
        <v>5151878699</v>
      </c>
      <c r="E177" s="4">
        <v>43848867</v>
      </c>
      <c r="F177" s="4">
        <v>48013698</v>
      </c>
      <c r="G177" s="4">
        <v>36065004</v>
      </c>
      <c r="H177" s="4">
        <v>614604101</v>
      </c>
      <c r="I177" s="4">
        <v>60760345</v>
      </c>
      <c r="J177" s="4">
        <v>24920551</v>
      </c>
      <c r="K177" s="4">
        <v>30531952</v>
      </c>
      <c r="L177" s="4">
        <v>46372769</v>
      </c>
      <c r="M177" s="4">
        <v>55609257</v>
      </c>
      <c r="N177" s="4">
        <v>87300825</v>
      </c>
      <c r="O177" s="5">
        <v>97828504</v>
      </c>
      <c r="P177" s="4">
        <v>20170973</v>
      </c>
      <c r="Q177" s="4">
        <v>24662386</v>
      </c>
      <c r="R177" s="4">
        <v>27384109</v>
      </c>
      <c r="S177" s="4">
        <v>27209876</v>
      </c>
    </row>
    <row r="178" spans="1:19" ht="16" x14ac:dyDescent="0.2">
      <c r="A178" s="3" t="s">
        <v>179</v>
      </c>
      <c r="B178" s="4" t="s">
        <v>24</v>
      </c>
      <c r="C178" s="4">
        <v>-909288227</v>
      </c>
      <c r="D178" s="4">
        <v>-705866841</v>
      </c>
      <c r="E178" s="4">
        <v>-413382573</v>
      </c>
      <c r="F178" s="4">
        <v>-847037184</v>
      </c>
      <c r="G178" s="4">
        <v>-613648215</v>
      </c>
      <c r="H178" s="4">
        <v>-421900876</v>
      </c>
      <c r="I178" s="4">
        <v>-600398665</v>
      </c>
      <c r="J178" s="4">
        <v>-1310272295</v>
      </c>
      <c r="K178" s="4">
        <v>-460224274</v>
      </c>
      <c r="L178" s="4">
        <v>-1477443749</v>
      </c>
      <c r="M178" s="4">
        <v>-9734804148</v>
      </c>
      <c r="N178" s="4">
        <v>-4951707066</v>
      </c>
      <c r="O178" s="5">
        <v>-1413325428</v>
      </c>
      <c r="P178" s="4">
        <v>-357527829</v>
      </c>
      <c r="Q178" s="4">
        <v>-430450987</v>
      </c>
      <c r="R178" s="4">
        <v>-537426767</v>
      </c>
      <c r="S178" s="4">
        <v>-117627129</v>
      </c>
    </row>
    <row r="179" spans="1:19" ht="16" x14ac:dyDescent="0.2">
      <c r="A179" s="3" t="s">
        <v>180</v>
      </c>
      <c r="B179" s="4">
        <v>201365691</v>
      </c>
      <c r="C179" s="4">
        <v>-194721742</v>
      </c>
      <c r="D179" s="4">
        <v>-4912458792</v>
      </c>
      <c r="E179" s="4" t="s">
        <v>24</v>
      </c>
      <c r="F179" s="4" t="s">
        <v>24</v>
      </c>
      <c r="G179" s="4">
        <v>4019293</v>
      </c>
      <c r="H179" s="4">
        <v>949277</v>
      </c>
      <c r="I179" s="4" t="s">
        <v>24</v>
      </c>
      <c r="J179" s="4" t="s">
        <v>24</v>
      </c>
      <c r="K179" s="4" t="s">
        <v>24</v>
      </c>
      <c r="L179" s="4" t="s">
        <v>24</v>
      </c>
      <c r="M179" s="4" t="s">
        <v>24</v>
      </c>
      <c r="N179" s="4" t="s">
        <v>24</v>
      </c>
      <c r="O179" s="5" t="s">
        <v>24</v>
      </c>
      <c r="P179" s="4" t="s">
        <v>24</v>
      </c>
      <c r="Q179" s="4" t="s">
        <v>24</v>
      </c>
      <c r="R179" s="4" t="s">
        <v>24</v>
      </c>
      <c r="S179" s="4" t="s">
        <v>24</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124361090</v>
      </c>
      <c r="C181" s="4">
        <v>-1287175625</v>
      </c>
      <c r="D181" s="4">
        <v>-719314435</v>
      </c>
      <c r="E181" s="4">
        <v>-160145787</v>
      </c>
      <c r="F181" s="4">
        <v>-1128266840</v>
      </c>
      <c r="G181" s="4">
        <v>-905861651</v>
      </c>
      <c r="H181" s="4">
        <v>2071111400</v>
      </c>
      <c r="I181" s="4">
        <v>-1451884052</v>
      </c>
      <c r="J181" s="4">
        <v>-1971124165</v>
      </c>
      <c r="K181" s="4">
        <v>-2004108340</v>
      </c>
      <c r="L181" s="4">
        <v>-921337593</v>
      </c>
      <c r="M181" s="4">
        <v>-11248877048</v>
      </c>
      <c r="N181" s="4">
        <v>-7677029643</v>
      </c>
      <c r="O181" s="5">
        <v>-3511662133</v>
      </c>
      <c r="P181" s="4">
        <v>-915698140</v>
      </c>
      <c r="Q181" s="4">
        <v>-995295682</v>
      </c>
      <c r="R181" s="4">
        <v>-148921546</v>
      </c>
      <c r="S181" s="4">
        <v>-1488814306</v>
      </c>
    </row>
    <row r="182" spans="1:19" ht="16" x14ac:dyDescent="0.2">
      <c r="A182" s="3" t="s">
        <v>182</v>
      </c>
      <c r="B182" s="4">
        <v>6573564</v>
      </c>
      <c r="C182" s="4">
        <v>5149741</v>
      </c>
      <c r="D182" s="4">
        <v>-3032301</v>
      </c>
      <c r="E182" s="4">
        <v>-13259935</v>
      </c>
      <c r="F182" s="4">
        <v>9968418</v>
      </c>
      <c r="G182" s="4">
        <v>8147215</v>
      </c>
      <c r="H182" s="4">
        <v>7488741</v>
      </c>
      <c r="I182" s="4">
        <v>-33742405</v>
      </c>
      <c r="J182" s="4">
        <v>5944352</v>
      </c>
      <c r="K182" s="4">
        <v>5163492</v>
      </c>
      <c r="L182" s="4">
        <v>-6484846</v>
      </c>
      <c r="M182" s="4">
        <v>23085233</v>
      </c>
      <c r="N182" s="4">
        <v>-3308466</v>
      </c>
      <c r="O182" s="5">
        <v>-22233751</v>
      </c>
      <c r="P182" s="4">
        <v>-13874214</v>
      </c>
      <c r="Q182" s="4">
        <v>-1738318</v>
      </c>
      <c r="R182" s="4">
        <v>-10582703</v>
      </c>
      <c r="S182" s="4">
        <v>3493875</v>
      </c>
    </row>
    <row r="183" spans="1:19" ht="16" x14ac:dyDescent="0.2">
      <c r="A183" s="3" t="s">
        <v>183</v>
      </c>
      <c r="B183" s="4">
        <v>1217853262</v>
      </c>
      <c r="C183" s="4">
        <v>1009932106</v>
      </c>
      <c r="D183" s="4">
        <v>-1268160842</v>
      </c>
      <c r="E183" s="4">
        <v>789176269</v>
      </c>
      <c r="F183" s="4">
        <v>97475829</v>
      </c>
      <c r="G183" s="4">
        <v>34435561</v>
      </c>
      <c r="H183" s="4">
        <v>465251191</v>
      </c>
      <c r="I183" s="4">
        <v>-744254185</v>
      </c>
      <c r="J183" s="4">
        <v>979560573</v>
      </c>
      <c r="K183" s="4">
        <v>456407780</v>
      </c>
      <c r="L183" s="4">
        <v>3086297402</v>
      </c>
      <c r="M183" s="4">
        <v>1003127313</v>
      </c>
      <c r="N183" s="4">
        <v>341092221</v>
      </c>
      <c r="O183" s="5">
        <v>1952017449</v>
      </c>
      <c r="P183" s="4">
        <v>4406130272</v>
      </c>
      <c r="Q183" s="4">
        <v>-672511764</v>
      </c>
      <c r="R183" s="4">
        <v>-323699801</v>
      </c>
      <c r="S183" s="4">
        <v>-1449534680</v>
      </c>
    </row>
    <row r="184" spans="1:19" ht="16" x14ac:dyDescent="0.2">
      <c r="A184" s="3" t="s">
        <v>54</v>
      </c>
      <c r="B184" s="4">
        <v>1880978254</v>
      </c>
      <c r="C184" s="4">
        <v>2478972646</v>
      </c>
      <c r="D184" s="4">
        <v>1771127222</v>
      </c>
      <c r="E184" s="4">
        <v>2110461341</v>
      </c>
      <c r="F184" s="4">
        <v>2173025493</v>
      </c>
      <c r="G184" s="4">
        <v>1932302080</v>
      </c>
      <c r="H184" s="4">
        <v>2025968007</v>
      </c>
      <c r="I184" s="4">
        <v>3383726796</v>
      </c>
      <c r="J184" s="4">
        <v>4134525245</v>
      </c>
      <c r="K184" s="4">
        <v>3979256225</v>
      </c>
      <c r="L184" s="4">
        <v>5557757965</v>
      </c>
      <c r="M184" s="4">
        <v>7968840647</v>
      </c>
      <c r="N184" s="4">
        <v>8748118984</v>
      </c>
      <c r="O184" s="5">
        <v>10042773504</v>
      </c>
      <c r="P184" s="4">
        <v>2462566305</v>
      </c>
      <c r="Q184" s="4">
        <v>2580641668</v>
      </c>
      <c r="R184" s="4">
        <v>2666623031</v>
      </c>
      <c r="S184" s="4">
        <v>2497167844</v>
      </c>
    </row>
    <row r="185" spans="1:19" ht="16" x14ac:dyDescent="0.2">
      <c r="A185" s="3" t="s">
        <v>55</v>
      </c>
      <c r="B185" s="6">
        <v>31.1</v>
      </c>
      <c r="C185" s="6">
        <v>33.79</v>
      </c>
      <c r="D185" s="6">
        <v>28.39</v>
      </c>
      <c r="E185" s="6">
        <v>29.2</v>
      </c>
      <c r="F185" s="6">
        <v>30.66</v>
      </c>
      <c r="G185" s="6">
        <v>28.29</v>
      </c>
      <c r="H185" s="6">
        <v>28.27</v>
      </c>
      <c r="I185" s="6">
        <v>31.13</v>
      </c>
      <c r="J185" s="6">
        <v>33.049999999999997</v>
      </c>
      <c r="K185" s="6">
        <v>29.99</v>
      </c>
      <c r="L185" s="6">
        <v>32.49</v>
      </c>
      <c r="M185" s="6">
        <v>37.65</v>
      </c>
      <c r="N185" s="6">
        <v>38.71</v>
      </c>
      <c r="O185" s="7">
        <v>35.46</v>
      </c>
      <c r="P185" s="6">
        <v>33.46</v>
      </c>
      <c r="Q185" s="6">
        <v>35.04</v>
      </c>
      <c r="R185" s="6">
        <v>35.590000000000003</v>
      </c>
      <c r="S185" s="6">
        <v>35.46</v>
      </c>
    </row>
    <row r="186" spans="1:19" ht="16" x14ac:dyDescent="0.2">
      <c r="A186" s="3" t="s">
        <v>184</v>
      </c>
      <c r="B186" s="4" t="s">
        <v>24</v>
      </c>
      <c r="C186" s="4" t="s">
        <v>24</v>
      </c>
      <c r="D186" s="4">
        <v>13579433</v>
      </c>
      <c r="E186" s="4">
        <v>611409361</v>
      </c>
      <c r="F186" s="4" t="s">
        <v>24</v>
      </c>
      <c r="G186" s="4" t="s">
        <v>24</v>
      </c>
      <c r="H186" s="4">
        <v>2785916959</v>
      </c>
      <c r="I186" s="4">
        <v>1224453037</v>
      </c>
      <c r="J186" s="4" t="s">
        <v>24</v>
      </c>
      <c r="K186" s="4" t="s">
        <v>24</v>
      </c>
      <c r="L186" s="4">
        <v>272608255</v>
      </c>
      <c r="M186" s="4">
        <v>-374139991</v>
      </c>
      <c r="N186" s="4" t="s">
        <v>24</v>
      </c>
      <c r="O186" s="5">
        <v>29221501</v>
      </c>
      <c r="P186" s="4" t="s">
        <v>24</v>
      </c>
      <c r="Q186" s="4" t="s">
        <v>24</v>
      </c>
      <c r="R186" s="4" t="s">
        <v>24</v>
      </c>
      <c r="S186" s="4">
        <v>29221501</v>
      </c>
    </row>
    <row r="187" spans="1:19" ht="16" x14ac:dyDescent="0.2">
      <c r="A187" s="3" t="s">
        <v>185</v>
      </c>
      <c r="B187" s="4">
        <v>1088394306</v>
      </c>
      <c r="C187" s="4">
        <v>2297107732</v>
      </c>
      <c r="D187" s="4">
        <v>690837177</v>
      </c>
      <c r="E187" s="4">
        <v>1160887122</v>
      </c>
      <c r="F187" s="4">
        <v>808250141</v>
      </c>
      <c r="G187" s="4">
        <v>1795211613</v>
      </c>
      <c r="H187" s="4">
        <v>1414633637</v>
      </c>
      <c r="I187" s="4">
        <v>1729868634</v>
      </c>
      <c r="J187" s="4">
        <v>2815793680</v>
      </c>
      <c r="K187" s="4">
        <v>2765386639</v>
      </c>
      <c r="L187" s="4">
        <v>4437592538</v>
      </c>
      <c r="M187" s="4">
        <v>11264570458</v>
      </c>
      <c r="N187" s="4">
        <v>7708193263</v>
      </c>
      <c r="O187" s="5">
        <v>5862404846</v>
      </c>
      <c r="P187" s="4">
        <v>5213075917</v>
      </c>
      <c r="Q187" s="4">
        <v>210988343</v>
      </c>
      <c r="R187" s="4">
        <v>-174232754</v>
      </c>
      <c r="S187" s="4">
        <v>654307525</v>
      </c>
    </row>
    <row r="188" spans="1:19" ht="16" x14ac:dyDescent="0.2">
      <c r="A188" s="28" t="s">
        <v>186</v>
      </c>
      <c r="B188" s="26">
        <v>1097440964</v>
      </c>
      <c r="C188" s="26">
        <v>2327892533</v>
      </c>
      <c r="D188" s="26">
        <v>720759212</v>
      </c>
      <c r="E188" s="26">
        <v>1197564118</v>
      </c>
      <c r="F188" s="26">
        <v>821645057</v>
      </c>
      <c r="G188" s="26">
        <v>1779155823</v>
      </c>
      <c r="H188" s="26">
        <v>1414633637</v>
      </c>
      <c r="I188" s="26">
        <v>1677141087</v>
      </c>
      <c r="J188" s="26">
        <v>2857958594</v>
      </c>
      <c r="K188" s="26">
        <v>2804504200</v>
      </c>
      <c r="L188" s="26">
        <v>4483403640</v>
      </c>
      <c r="M188" s="26">
        <v>11317203857</v>
      </c>
      <c r="N188" s="26">
        <v>7763998343</v>
      </c>
      <c r="O188" s="27">
        <v>5879573246</v>
      </c>
      <c r="P188" s="26">
        <v>5230204071</v>
      </c>
      <c r="Q188" s="26">
        <v>210988343</v>
      </c>
      <c r="R188" s="26">
        <v>-174232754</v>
      </c>
      <c r="S188" s="26">
        <v>654307525</v>
      </c>
    </row>
    <row r="189" spans="1:19" ht="16" x14ac:dyDescent="0.2">
      <c r="A189" s="21" t="s">
        <v>199</v>
      </c>
      <c r="B189" s="22"/>
      <c r="C189" s="23">
        <f>(C188/B188)-1</f>
        <v>1.1212006926688769</v>
      </c>
      <c r="D189" s="23">
        <f>(D188/C188)-1</f>
        <v>-0.6903812346220537</v>
      </c>
      <c r="E189" s="23">
        <f>(E188/D188)-1</f>
        <v>0.6615314768949494</v>
      </c>
      <c r="F189" s="23">
        <f t="shared" ref="F189:S189" si="11">(F188/E188)-1</f>
        <v>-0.313903076544917</v>
      </c>
      <c r="G189" s="23">
        <f t="shared" si="11"/>
        <v>1.1653581529426762</v>
      </c>
      <c r="H189" s="23">
        <f t="shared" si="11"/>
        <v>-0.20488491299505474</v>
      </c>
      <c r="I189" s="23">
        <f t="shared" si="11"/>
        <v>0.1855656780201389</v>
      </c>
      <c r="J189" s="23">
        <f t="shared" si="11"/>
        <v>0.70406569617359804</v>
      </c>
      <c r="K189" s="23">
        <f t="shared" si="11"/>
        <v>-1.8703697846505607E-2</v>
      </c>
      <c r="L189" s="23">
        <f t="shared" si="11"/>
        <v>0.59864393856140419</v>
      </c>
      <c r="M189" s="23">
        <f t="shared" si="11"/>
        <v>1.5242438035313723</v>
      </c>
      <c r="N189" s="23">
        <f t="shared" si="11"/>
        <v>-0.31396496510065475</v>
      </c>
      <c r="O189" s="23">
        <f t="shared" si="11"/>
        <v>-0.24271322761151704</v>
      </c>
      <c r="P189" s="23"/>
      <c r="Q189" s="23">
        <f t="shared" si="11"/>
        <v>-0.95965963466514226</v>
      </c>
      <c r="R189" s="23">
        <f t="shared" si="11"/>
        <v>-1.8257932714320622</v>
      </c>
      <c r="S189" s="23">
        <f t="shared" si="11"/>
        <v>-4.7553646486010317</v>
      </c>
    </row>
    <row r="190" spans="1:19" ht="16" x14ac:dyDescent="0.2">
      <c r="A190" s="24" t="s">
        <v>200</v>
      </c>
      <c r="B190" s="25">
        <f t="shared" ref="B190:S190" si="12">B188/B2</f>
        <v>0.18146885890097977</v>
      </c>
      <c r="C190" s="25">
        <f t="shared" si="12"/>
        <v>0.31733044584302644</v>
      </c>
      <c r="D190" s="25">
        <f t="shared" si="12"/>
        <v>0.11554387895287338</v>
      </c>
      <c r="E190" s="25">
        <f t="shared" si="12"/>
        <v>0.16568965001874086</v>
      </c>
      <c r="F190" s="25">
        <f t="shared" si="12"/>
        <v>0.11594664875729736</v>
      </c>
      <c r="G190" s="25">
        <f t="shared" si="12"/>
        <v>0.26049236285795374</v>
      </c>
      <c r="H190" s="25">
        <f t="shared" si="12"/>
        <v>0.19738623649132059</v>
      </c>
      <c r="I190" s="25">
        <f t="shared" si="12"/>
        <v>0.15428260358874205</v>
      </c>
      <c r="J190" s="25">
        <f t="shared" si="12"/>
        <v>0.22844344145609757</v>
      </c>
      <c r="K190" s="25">
        <f t="shared" si="12"/>
        <v>0.2113746752263598</v>
      </c>
      <c r="L190" s="25">
        <f t="shared" si="12"/>
        <v>0.26213405983696875</v>
      </c>
      <c r="M190" s="25">
        <f t="shared" si="12"/>
        <v>0.53472587068157929</v>
      </c>
      <c r="N190" s="25">
        <f t="shared" si="12"/>
        <v>0.34358151273766668</v>
      </c>
      <c r="O190" s="25">
        <f t="shared" si="12"/>
        <v>0.20758739538181287</v>
      </c>
      <c r="P190" s="25">
        <f t="shared" si="12"/>
        <v>0.76213009060998571</v>
      </c>
      <c r="Q190" s="25">
        <f t="shared" si="12"/>
        <v>2.8786576097915913E-2</v>
      </c>
      <c r="R190" s="25">
        <f t="shared" si="12"/>
        <v>-2.3137215090945479E-2</v>
      </c>
      <c r="S190" s="25">
        <f t="shared" si="12"/>
        <v>9.2612018620929867E-2</v>
      </c>
    </row>
    <row r="191" spans="1:19" ht="16" x14ac:dyDescent="0.2">
      <c r="A191" s="3" t="s">
        <v>187</v>
      </c>
      <c r="B191" s="4">
        <v>1091614011</v>
      </c>
      <c r="C191" s="4">
        <v>2421144183</v>
      </c>
      <c r="D191" s="4">
        <v>697033618</v>
      </c>
      <c r="E191" s="4">
        <v>2119540600</v>
      </c>
      <c r="F191" s="4">
        <v>1224486634</v>
      </c>
      <c r="G191" s="4">
        <v>1792495875</v>
      </c>
      <c r="H191" s="4">
        <v>3771266455</v>
      </c>
      <c r="I191" s="4">
        <v>1461010111</v>
      </c>
      <c r="J191" s="4">
        <v>3114725983</v>
      </c>
      <c r="K191" s="4">
        <v>3156016023</v>
      </c>
      <c r="L191" s="4">
        <v>6299599907</v>
      </c>
      <c r="M191" s="4">
        <v>11295957278</v>
      </c>
      <c r="N191" s="4">
        <v>8620689662</v>
      </c>
      <c r="O191" s="5">
        <v>6157796108</v>
      </c>
      <c r="P191" s="4">
        <v>5225349261</v>
      </c>
      <c r="Q191" s="4">
        <v>217398391</v>
      </c>
      <c r="R191" s="4">
        <v>920804287</v>
      </c>
      <c r="S191" s="4">
        <v>-131390880</v>
      </c>
    </row>
    <row r="192" spans="1:19" ht="16" x14ac:dyDescent="0.2">
      <c r="A192" s="3" t="s">
        <v>188</v>
      </c>
      <c r="B192" s="6">
        <v>2.5</v>
      </c>
      <c r="C192" s="6">
        <v>5.4</v>
      </c>
      <c r="D192" s="6">
        <v>1.63</v>
      </c>
      <c r="E192" s="6">
        <v>2.7</v>
      </c>
      <c r="F192" s="6">
        <v>1.85</v>
      </c>
      <c r="G192" s="6">
        <v>4.17</v>
      </c>
      <c r="H192" s="6">
        <v>3.32</v>
      </c>
      <c r="I192" s="6">
        <v>4.0199999999999996</v>
      </c>
      <c r="J192" s="6">
        <v>6.63</v>
      </c>
      <c r="K192" s="6">
        <v>6.57</v>
      </c>
      <c r="L192" s="6">
        <v>10.61</v>
      </c>
      <c r="M192" s="6">
        <v>27.49</v>
      </c>
      <c r="N192" s="6">
        <v>19.38</v>
      </c>
      <c r="O192" s="7">
        <v>14.9</v>
      </c>
      <c r="P192" s="6">
        <v>13.3</v>
      </c>
      <c r="Q192" s="6">
        <v>0.53</v>
      </c>
      <c r="R192" s="6">
        <v>-0.45</v>
      </c>
      <c r="S192" s="6">
        <v>1.66</v>
      </c>
    </row>
    <row r="193" spans="1:19" ht="16" x14ac:dyDescent="0.2">
      <c r="A193" s="3" t="s">
        <v>189</v>
      </c>
      <c r="B193" s="6">
        <v>15.29</v>
      </c>
      <c r="C193" s="6">
        <v>7.01</v>
      </c>
      <c r="D193" s="6">
        <v>23.6</v>
      </c>
      <c r="E193" s="6">
        <v>15.39</v>
      </c>
      <c r="F193" s="6">
        <v>18.829999999999998</v>
      </c>
      <c r="G193" s="6">
        <v>14.74</v>
      </c>
      <c r="H193" s="6">
        <v>22.92</v>
      </c>
      <c r="I193" s="6">
        <v>28.99</v>
      </c>
      <c r="J193" s="6">
        <v>13.97</v>
      </c>
      <c r="K193" s="6">
        <v>22.96</v>
      </c>
      <c r="L193" s="6">
        <v>29.74</v>
      </c>
      <c r="M193" s="6">
        <v>24.39</v>
      </c>
      <c r="N193" s="6">
        <v>17.45</v>
      </c>
      <c r="O193" s="7">
        <v>22.71</v>
      </c>
      <c r="P193" s="6">
        <v>21.18</v>
      </c>
      <c r="Q193" s="6">
        <v>22.2</v>
      </c>
      <c r="R193" s="6">
        <v>28.47</v>
      </c>
      <c r="S193" s="6">
        <v>23.79</v>
      </c>
    </row>
    <row r="194" spans="1:19" ht="16" x14ac:dyDescent="0.2">
      <c r="A194" s="3" t="s">
        <v>190</v>
      </c>
      <c r="B194" s="6">
        <v>0.92</v>
      </c>
      <c r="C194" s="6">
        <v>1.45</v>
      </c>
      <c r="D194" s="6">
        <v>0.61</v>
      </c>
      <c r="E194" s="6">
        <v>1.1599999999999999</v>
      </c>
      <c r="F194" s="6">
        <v>0.97</v>
      </c>
      <c r="G194" s="6">
        <v>1.46</v>
      </c>
      <c r="H194" s="6">
        <v>1.1299999999999999</v>
      </c>
      <c r="I194" s="6">
        <v>0.84</v>
      </c>
      <c r="J194" s="6">
        <v>1.31</v>
      </c>
      <c r="K194" s="6">
        <v>1.43</v>
      </c>
      <c r="L194" s="6">
        <v>1.34</v>
      </c>
      <c r="M194" s="6">
        <v>1.91</v>
      </c>
      <c r="N194" s="6">
        <v>1.48</v>
      </c>
      <c r="O194" s="7">
        <v>1.01</v>
      </c>
      <c r="P194" s="6">
        <v>3.03</v>
      </c>
      <c r="Q194" s="6">
        <v>0.38</v>
      </c>
      <c r="R194" s="6">
        <v>0.21</v>
      </c>
      <c r="S194" s="6">
        <v>0.6</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37:S95 A2:S2 A9:S11 A13:S13 A191:S195 A96:I96 P96 L96:N96 A9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9401-D544-8540-8C6F-4D590D08666C}">
  <dimension ref="A1:R110"/>
  <sheetViews>
    <sheetView tabSelected="1" workbookViewId="0">
      <selection activeCell="H21" sqref="H21"/>
    </sheetView>
  </sheetViews>
  <sheetFormatPr baseColWidth="10" defaultRowHeight="15" x14ac:dyDescent="0.2"/>
  <cols>
    <col min="1" max="18" width="18.83203125" customWidth="1"/>
  </cols>
  <sheetData>
    <row r="1" spans="1:18" s="119" customFormat="1" ht="22" customHeight="1" x14ac:dyDescent="0.2">
      <c r="A1" s="118" t="e" vm="1">
        <v>#VALUE!</v>
      </c>
      <c r="B1" s="118"/>
      <c r="C1" s="118"/>
      <c r="D1" s="118"/>
      <c r="E1" s="118"/>
      <c r="F1" s="118"/>
      <c r="G1" s="118"/>
      <c r="H1" s="118"/>
      <c r="I1" s="118"/>
      <c r="J1" s="118"/>
      <c r="K1" s="118"/>
      <c r="L1" s="118"/>
      <c r="M1" s="118"/>
      <c r="N1" s="118"/>
      <c r="O1" s="118"/>
      <c r="P1" s="118"/>
      <c r="Q1" s="118"/>
      <c r="R1" s="118"/>
    </row>
    <row r="2" spans="1:18" s="119" customFormat="1" ht="22" customHeight="1" thickBot="1" x14ac:dyDescent="0.25">
      <c r="A2" s="118"/>
      <c r="B2" s="118"/>
      <c r="C2" s="118"/>
      <c r="D2" s="118"/>
      <c r="E2" s="118"/>
      <c r="F2" s="118"/>
      <c r="G2" s="118"/>
      <c r="H2" s="118"/>
      <c r="I2" s="118"/>
      <c r="J2" s="118"/>
      <c r="K2" s="118"/>
      <c r="L2" s="118"/>
      <c r="M2" s="118"/>
      <c r="N2" s="118"/>
      <c r="O2" s="118"/>
      <c r="P2" s="118"/>
      <c r="Q2" s="118"/>
      <c r="R2" s="118"/>
    </row>
    <row r="3" spans="1:18" ht="22" customHeight="1" x14ac:dyDescent="0.2">
      <c r="A3" s="35" cm="1">
        <f t="array" ref="A3">_FV(A1,"Market cap",TRUE)</f>
        <v>251155200000</v>
      </c>
      <c r="B3" s="36" t="s">
        <v>201</v>
      </c>
      <c r="C3" s="37">
        <f>Financials!O8*0.01</f>
        <v>0.51319999999999999</v>
      </c>
      <c r="D3" s="36" t="s">
        <v>202</v>
      </c>
      <c r="E3" s="37">
        <f>SUM(C11:E11)/3</f>
        <v>0.19807286798652277</v>
      </c>
      <c r="F3" s="38" t="s">
        <v>203</v>
      </c>
      <c r="G3" s="39">
        <f>AVERAGE(Financials!N129:S129)</f>
        <v>-3.3152290006318772E-3</v>
      </c>
      <c r="H3" s="38" t="s">
        <v>204</v>
      </c>
      <c r="I3" s="40">
        <f>J15*(1+I7)/(I6-I7)</f>
        <v>213536525017.3443</v>
      </c>
      <c r="J3" s="41" t="s">
        <v>205</v>
      </c>
      <c r="K3" s="42">
        <f>(Financials!O172*-1)/Model!A3</f>
        <v>9.7745287296460513E-3</v>
      </c>
      <c r="L3" s="43" t="s">
        <v>206</v>
      </c>
      <c r="M3" s="44"/>
      <c r="N3" s="120" t="s">
        <v>207</v>
      </c>
      <c r="O3" s="121"/>
      <c r="P3" s="44"/>
      <c r="Q3" s="44"/>
      <c r="R3" s="44"/>
    </row>
    <row r="4" spans="1:18" ht="22" customHeight="1" x14ac:dyDescent="0.2">
      <c r="A4" s="45">
        <f>Financials!O56-Financials!O96-Financials!O105</f>
        <v>-310837130</v>
      </c>
      <c r="B4" s="46" t="s">
        <v>208</v>
      </c>
      <c r="C4" s="47">
        <f>Financials!O17*0.01</f>
        <v>0.32799999999999996</v>
      </c>
      <c r="D4" s="46" t="s">
        <v>209</v>
      </c>
      <c r="E4" s="47">
        <f>SUM(C13:E13)/3</f>
        <v>0.35145023994605129</v>
      </c>
      <c r="F4" s="48" t="s">
        <v>210</v>
      </c>
      <c r="G4" s="49">
        <f>A5*(1+(5*G3))</f>
        <v>396455919.42525834</v>
      </c>
      <c r="H4" s="48" t="s">
        <v>211</v>
      </c>
      <c r="I4" s="50">
        <f>NPV(I6,F15,G15,H15,I15,(J15+I3))</f>
        <v>175632995196.33844</v>
      </c>
      <c r="J4" s="48" t="s">
        <v>212</v>
      </c>
      <c r="K4" s="51" cm="1">
        <f t="array" ref="K4">_FV(A1,"Change (%)",TRUE)</f>
        <v>1.2343999999999999E-2</v>
      </c>
      <c r="L4" s="52" t="s">
        <v>213</v>
      </c>
      <c r="M4" s="44"/>
      <c r="N4" s="122" t="s">
        <v>214</v>
      </c>
      <c r="O4" s="123"/>
      <c r="P4" s="44"/>
      <c r="Q4" s="44"/>
      <c r="R4" s="44"/>
    </row>
    <row r="5" spans="1:18" ht="22" customHeight="1" x14ac:dyDescent="0.2">
      <c r="A5" s="45" cm="1">
        <f t="array" ref="A5">_FV(A1,"Shares outstanding",TRUE)</f>
        <v>403138400</v>
      </c>
      <c r="B5" s="46" t="s">
        <v>215</v>
      </c>
      <c r="C5" s="47">
        <f>F14</f>
        <v>0.28070819864825153</v>
      </c>
      <c r="D5" s="53" t="s">
        <v>216</v>
      </c>
      <c r="E5" s="47">
        <f>SUM(C16:E16)/3</f>
        <v>0.60297425899737389</v>
      </c>
      <c r="F5" s="48" t="s">
        <v>217</v>
      </c>
      <c r="G5" s="49">
        <f>Financials!O56</f>
        <v>5273528074</v>
      </c>
      <c r="H5" s="48" t="s">
        <v>218</v>
      </c>
      <c r="I5" s="50">
        <f>I4+G5-G6</f>
        <v>175322158066.33844</v>
      </c>
      <c r="J5" s="48" t="s">
        <v>219</v>
      </c>
      <c r="K5" s="54" cm="1">
        <f t="array" ref="K5">_FV(A1,"Price")</f>
        <v>692.2</v>
      </c>
      <c r="L5" s="55" t="s">
        <v>220</v>
      </c>
      <c r="M5" s="44"/>
      <c r="N5" s="56" t="s">
        <v>221</v>
      </c>
      <c r="O5" s="57">
        <f>Financials!O20</f>
        <v>20433876</v>
      </c>
      <c r="P5" s="44"/>
      <c r="Q5" s="44"/>
      <c r="R5" s="44"/>
    </row>
    <row r="6" spans="1:18" ht="22" customHeight="1" x14ac:dyDescent="0.2">
      <c r="A6" s="58">
        <f>O20/F10</f>
        <v>8.4746526783680558</v>
      </c>
      <c r="B6" s="46" t="s">
        <v>222</v>
      </c>
      <c r="C6" s="47">
        <f>F17</f>
        <v>0.24977960622979722</v>
      </c>
      <c r="D6" s="53" t="s">
        <v>200</v>
      </c>
      <c r="E6" s="47">
        <f>Financials!O33/Financials!O126</f>
        <v>0.62529074855715217</v>
      </c>
      <c r="F6" s="46" t="s">
        <v>223</v>
      </c>
      <c r="G6" s="49">
        <f>Financials!O96+Financials!O105</f>
        <v>5584365204</v>
      </c>
      <c r="H6" s="48" t="s">
        <v>224</v>
      </c>
      <c r="I6" s="51">
        <f>N25</f>
        <v>9.5569105560634304E-2</v>
      </c>
      <c r="J6" s="48" t="s">
        <v>225</v>
      </c>
      <c r="K6" s="59">
        <f>I5/G4</f>
        <v>442.22358521094287</v>
      </c>
      <c r="L6" s="60" t="s">
        <v>226</v>
      </c>
      <c r="M6" s="44"/>
      <c r="N6" s="56" t="s">
        <v>227</v>
      </c>
      <c r="O6" s="57">
        <f>Financials!O96</f>
        <v>796379898</v>
      </c>
      <c r="P6" s="44"/>
      <c r="Q6" s="44"/>
      <c r="R6" s="44"/>
    </row>
    <row r="7" spans="1:18" ht="22" customHeight="1" thickBot="1" x14ac:dyDescent="0.25">
      <c r="A7" s="61">
        <f>O20/F12</f>
        <v>30.190257068292588</v>
      </c>
      <c r="B7" s="62" t="s">
        <v>228</v>
      </c>
      <c r="C7" s="63">
        <f>F15/A3</f>
        <v>2.9473727798588284E-2</v>
      </c>
      <c r="D7" s="62" t="s">
        <v>229</v>
      </c>
      <c r="E7" s="64">
        <f>(Financials!O16*(1-0.25))/(Financials!O126+Financials!O105+Financials!O96)</f>
        <v>0.38107602329092682</v>
      </c>
      <c r="F7" s="62" t="s">
        <v>196</v>
      </c>
      <c r="G7" s="65">
        <f>(Financials!O96+Financials!O105)/Financials!O126</f>
        <v>0.43972761567552432</v>
      </c>
      <c r="H7" s="66" t="s">
        <v>230</v>
      </c>
      <c r="I7" s="67">
        <v>2.5000000000000001E-2</v>
      </c>
      <c r="J7" s="68" t="s">
        <v>231</v>
      </c>
      <c r="K7" s="69">
        <f>K6/K5-1</f>
        <v>-0.36113321986283897</v>
      </c>
      <c r="L7" s="70" t="s">
        <v>232</v>
      </c>
      <c r="M7" s="44"/>
      <c r="N7" s="56" t="s">
        <v>233</v>
      </c>
      <c r="O7" s="57">
        <f>Financials!O105</f>
        <v>4787985306</v>
      </c>
      <c r="P7" s="44"/>
      <c r="Q7" s="44"/>
      <c r="R7" s="44"/>
    </row>
    <row r="8" spans="1:18" ht="22" customHeight="1" x14ac:dyDescent="0.2">
      <c r="A8" s="71"/>
      <c r="B8" s="44"/>
      <c r="C8" s="44"/>
      <c r="D8" s="44"/>
      <c r="E8" s="44"/>
      <c r="F8" s="72"/>
      <c r="G8" s="72"/>
      <c r="H8" s="72"/>
      <c r="I8" s="72"/>
      <c r="J8" s="73"/>
      <c r="K8" s="112" cm="1">
        <f t="array" ref="K8">_FV(L8,"Previous close",TRUE)</f>
        <v>1.0886</v>
      </c>
      <c r="L8" s="111" t="e" vm="2">
        <v>#VALUE!</v>
      </c>
      <c r="M8" s="44"/>
      <c r="N8" s="75" t="s">
        <v>214</v>
      </c>
      <c r="O8" s="76">
        <f>O5/(O6+O7)</f>
        <v>3.6591224344288066E-3</v>
      </c>
      <c r="P8" s="44"/>
      <c r="Q8" s="44"/>
      <c r="R8" s="44"/>
    </row>
    <row r="9" spans="1:18" ht="22" customHeight="1" x14ac:dyDescent="0.2">
      <c r="A9" s="110" t="s">
        <v>253</v>
      </c>
      <c r="B9" s="77">
        <v>2019</v>
      </c>
      <c r="C9" s="77">
        <v>2020</v>
      </c>
      <c r="D9" s="77">
        <v>2021</v>
      </c>
      <c r="E9" s="78">
        <v>2022</v>
      </c>
      <c r="F9" s="79">
        <v>2023</v>
      </c>
      <c r="G9" s="80">
        <v>2024</v>
      </c>
      <c r="H9" s="80">
        <v>2025</v>
      </c>
      <c r="I9" s="80">
        <v>2026</v>
      </c>
      <c r="J9" s="81">
        <v>2027</v>
      </c>
      <c r="K9" s="74"/>
      <c r="L9" s="74"/>
      <c r="M9" s="74"/>
      <c r="N9" s="56" t="s">
        <v>234</v>
      </c>
      <c r="O9" s="57">
        <f>Financials!O25</f>
        <v>1490190681</v>
      </c>
      <c r="P9" s="44"/>
      <c r="Q9" s="44"/>
      <c r="R9" s="44"/>
    </row>
    <row r="10" spans="1:18" ht="22" customHeight="1" x14ac:dyDescent="0.2">
      <c r="A10" s="82" t="s">
        <v>235</v>
      </c>
      <c r="B10" s="83">
        <v>13267929079</v>
      </c>
      <c r="C10" s="83">
        <v>17103476148</v>
      </c>
      <c r="D10" s="83">
        <v>21164496572</v>
      </c>
      <c r="E10" s="84">
        <v>22597252923</v>
      </c>
      <c r="F10" s="83">
        <f>$K$8*27224000000</f>
        <v>29636046400</v>
      </c>
      <c r="G10" s="83">
        <f>$K$8*27241000000</f>
        <v>29654552600</v>
      </c>
      <c r="H10" s="83">
        <f>$K$8*33124000000</f>
        <v>36058786400</v>
      </c>
      <c r="I10" s="83">
        <f>$K$8*37000000000</f>
        <v>40278200000</v>
      </c>
      <c r="J10" s="84">
        <f>$K$8*40355000000</f>
        <v>43930453000</v>
      </c>
      <c r="K10" s="85" t="s">
        <v>236</v>
      </c>
      <c r="L10" s="74"/>
      <c r="N10" s="56" t="s">
        <v>237</v>
      </c>
      <c r="O10" s="57">
        <f>Financials!O24</f>
        <v>9324940977</v>
      </c>
      <c r="P10" s="44"/>
      <c r="Q10" s="44"/>
      <c r="R10" s="44"/>
    </row>
    <row r="11" spans="1:18" ht="22" customHeight="1" x14ac:dyDescent="0.2">
      <c r="A11" s="86"/>
      <c r="B11" s="87"/>
      <c r="C11" s="87">
        <f t="shared" ref="C11:J11" si="0">(C10/B10)-1</f>
        <v>0.28908407982604944</v>
      </c>
      <c r="D11" s="87">
        <f t="shared" si="0"/>
        <v>0.23743830721071735</v>
      </c>
      <c r="E11" s="87">
        <f t="shared" si="0"/>
        <v>6.7696216922801478E-2</v>
      </c>
      <c r="F11" s="88">
        <f t="shared" si="0"/>
        <v>0.31148890092900428</v>
      </c>
      <c r="G11" s="87">
        <f t="shared" si="0"/>
        <v>6.2444901557445753E-4</v>
      </c>
      <c r="H11" s="87">
        <f t="shared" si="0"/>
        <v>0.2159612349032709</v>
      </c>
      <c r="I11" s="87">
        <f t="shared" si="0"/>
        <v>0.11701485327858951</v>
      </c>
      <c r="J11" s="89">
        <f t="shared" si="0"/>
        <v>9.0675675675675693E-2</v>
      </c>
      <c r="K11" s="89">
        <f>AVERAGE(F11:J11)</f>
        <v>0.14715302276042297</v>
      </c>
      <c r="L11" s="74"/>
      <c r="M11" s="74"/>
      <c r="N11" s="56" t="s">
        <v>238</v>
      </c>
      <c r="O11" s="90">
        <f>O9/O10</f>
        <v>0.15980698265818097</v>
      </c>
      <c r="P11" s="44"/>
      <c r="Q11" s="44"/>
      <c r="R11" s="44"/>
    </row>
    <row r="12" spans="1:18" ht="22" customHeight="1" x14ac:dyDescent="0.2">
      <c r="A12" s="82" t="s">
        <v>142</v>
      </c>
      <c r="B12" s="83">
        <v>2876850714</v>
      </c>
      <c r="C12" s="83">
        <v>4239743549</v>
      </c>
      <c r="D12" s="83">
        <v>6463979096</v>
      </c>
      <c r="E12" s="83">
        <v>6825899962</v>
      </c>
      <c r="F12" s="91">
        <f>$K$8*7642000000</f>
        <v>8319081200</v>
      </c>
      <c r="G12" s="83">
        <f>$K$8*7540000000</f>
        <v>8208044000</v>
      </c>
      <c r="H12" s="83">
        <f>$K$8*10400000000</f>
        <v>11321440000</v>
      </c>
      <c r="I12" s="83">
        <f>$K$8*11871000000</f>
        <v>12922770600</v>
      </c>
      <c r="J12" s="84">
        <f>$K$8*13600000000</f>
        <v>14804960000</v>
      </c>
      <c r="K12" s="92" t="s">
        <v>239</v>
      </c>
      <c r="L12" s="74"/>
      <c r="M12" s="74"/>
      <c r="N12" s="56" t="s">
        <v>240</v>
      </c>
      <c r="O12" s="90">
        <f>O8*(1-O11)</f>
        <v>3.0743691190058815E-3</v>
      </c>
      <c r="P12" s="44"/>
      <c r="Q12" s="44"/>
      <c r="R12" s="44"/>
    </row>
    <row r="13" spans="1:18" ht="22" customHeight="1" x14ac:dyDescent="0.2">
      <c r="A13" s="86"/>
      <c r="B13" s="87"/>
      <c r="C13" s="87">
        <f t="shared" ref="C13:J13" si="1">(C12/B12)-1</f>
        <v>0.47374471965735787</v>
      </c>
      <c r="D13" s="87">
        <f t="shared" si="1"/>
        <v>0.52461558613011294</v>
      </c>
      <c r="E13" s="87">
        <f t="shared" si="1"/>
        <v>5.5990414050683057E-2</v>
      </c>
      <c r="F13" s="88">
        <f t="shared" si="1"/>
        <v>0.21875228853522422</v>
      </c>
      <c r="G13" s="87">
        <f t="shared" si="1"/>
        <v>-1.3347291285003893E-2</v>
      </c>
      <c r="H13" s="87">
        <f t="shared" si="1"/>
        <v>0.3793103448275863</v>
      </c>
      <c r="I13" s="87">
        <f t="shared" si="1"/>
        <v>0.1414423076923077</v>
      </c>
      <c r="J13" s="89">
        <f t="shared" si="1"/>
        <v>0.14564906073624795</v>
      </c>
      <c r="K13" s="89">
        <f>AVERAGE(F13:J13)</f>
        <v>0.17436134210127247</v>
      </c>
      <c r="L13" s="74"/>
      <c r="M13" s="74"/>
      <c r="N13" s="122" t="s">
        <v>241</v>
      </c>
      <c r="O13" s="123"/>
      <c r="P13" s="44"/>
      <c r="Q13" s="44"/>
      <c r="R13" s="44"/>
    </row>
    <row r="14" spans="1:18" ht="22" customHeight="1" x14ac:dyDescent="0.2">
      <c r="A14" s="93" t="s">
        <v>242</v>
      </c>
      <c r="B14" s="94">
        <f>B12/B10</f>
        <v>0.2168274111860739</v>
      </c>
      <c r="C14" s="94">
        <f t="shared" ref="C14:J14" si="2">C12/C10</f>
        <v>0.24788782773236279</v>
      </c>
      <c r="D14" s="94">
        <f t="shared" si="2"/>
        <v>0.30541615171473779</v>
      </c>
      <c r="E14" s="94">
        <f t="shared" si="2"/>
        <v>0.30206768872566997</v>
      </c>
      <c r="F14" s="95">
        <f t="shared" si="2"/>
        <v>0.28070819864825153</v>
      </c>
      <c r="G14" s="94">
        <f t="shared" si="2"/>
        <v>0.27678866414595649</v>
      </c>
      <c r="H14" s="94">
        <f t="shared" si="2"/>
        <v>0.31397174254317112</v>
      </c>
      <c r="I14" s="94">
        <f t="shared" si="2"/>
        <v>0.32083783783783781</v>
      </c>
      <c r="J14" s="96">
        <f t="shared" si="2"/>
        <v>0.33700904472803866</v>
      </c>
      <c r="K14" s="96"/>
      <c r="L14" s="74"/>
      <c r="M14" s="74"/>
      <c r="N14" s="56" t="s">
        <v>243</v>
      </c>
      <c r="O14" s="90">
        <f>'[1]US Treasury Bonds'!$C$8</f>
        <v>4.2709999999999998E-2</v>
      </c>
      <c r="P14" s="44"/>
      <c r="Q14" s="44"/>
      <c r="R14" s="44"/>
    </row>
    <row r="15" spans="1:18" ht="22" customHeight="1" x14ac:dyDescent="0.2">
      <c r="A15" s="82" t="s">
        <v>185</v>
      </c>
      <c r="B15" s="83">
        <v>2804504200</v>
      </c>
      <c r="C15" s="83">
        <v>4483403640</v>
      </c>
      <c r="D15" s="83">
        <v>11317203857</v>
      </c>
      <c r="E15" s="83">
        <v>7763998343</v>
      </c>
      <c r="F15" s="91">
        <f>$K$8*6800000000</f>
        <v>7402480000</v>
      </c>
      <c r="G15" s="83">
        <f>$K$8*7062000000</f>
        <v>7687693200</v>
      </c>
      <c r="H15" s="83">
        <f>$K$8*10261000000</f>
        <v>11170124600</v>
      </c>
      <c r="I15" s="83">
        <f>$K$8*12400000000</f>
        <v>13498640000</v>
      </c>
      <c r="J15" s="84">
        <f>$K$8*13505000000</f>
        <v>14701543000</v>
      </c>
      <c r="K15" s="92" t="s">
        <v>244</v>
      </c>
      <c r="L15" s="74"/>
      <c r="M15" s="74"/>
      <c r="N15" s="56" t="s">
        <v>245</v>
      </c>
      <c r="O15" s="97">
        <f>1.33</f>
        <v>1.33</v>
      </c>
      <c r="P15" s="44"/>
      <c r="Q15" s="44"/>
      <c r="R15" s="44"/>
    </row>
    <row r="16" spans="1:18" ht="22" customHeight="1" x14ac:dyDescent="0.2">
      <c r="A16" s="98"/>
      <c r="B16" s="87"/>
      <c r="C16" s="87">
        <f t="shared" ref="C16:J16" si="3">(C15/B15)-1</f>
        <v>0.59864393856140419</v>
      </c>
      <c r="D16" s="87">
        <f t="shared" si="3"/>
        <v>1.5242438035313723</v>
      </c>
      <c r="E16" s="87">
        <f t="shared" si="3"/>
        <v>-0.31396496510065475</v>
      </c>
      <c r="F16" s="88">
        <f t="shared" si="3"/>
        <v>-4.6563423513085067E-2</v>
      </c>
      <c r="G16" s="87">
        <f t="shared" si="3"/>
        <v>3.8529411764705923E-2</v>
      </c>
      <c r="H16" s="87">
        <f t="shared" si="3"/>
        <v>0.45298782214670075</v>
      </c>
      <c r="I16" s="87">
        <f t="shared" si="3"/>
        <v>0.2084592145015105</v>
      </c>
      <c r="J16" s="89">
        <f t="shared" si="3"/>
        <v>8.911290322580645E-2</v>
      </c>
      <c r="K16" s="89">
        <f>AVERAGE(F16:J16)</f>
        <v>0.14850518562512771</v>
      </c>
      <c r="L16" s="74"/>
      <c r="M16" s="74"/>
      <c r="N16" s="56" t="s">
        <v>246</v>
      </c>
      <c r="O16" s="90">
        <v>8.4000000000000005E-2</v>
      </c>
      <c r="P16" s="44"/>
      <c r="Q16" s="44"/>
      <c r="R16" s="44"/>
    </row>
    <row r="17" spans="1:18" ht="22" customHeight="1" x14ac:dyDescent="0.2">
      <c r="A17" s="93" t="s">
        <v>200</v>
      </c>
      <c r="B17" s="94">
        <f>B15/B10</f>
        <v>0.2113746752263598</v>
      </c>
      <c r="C17" s="94">
        <f t="shared" ref="C17:J17" si="4">C15/C10</f>
        <v>0.26213405983696875</v>
      </c>
      <c r="D17" s="94">
        <f t="shared" si="4"/>
        <v>0.53472587068157929</v>
      </c>
      <c r="E17" s="96">
        <f t="shared" si="4"/>
        <v>0.34358151273766668</v>
      </c>
      <c r="F17" s="94">
        <f t="shared" si="4"/>
        <v>0.24977960622979722</v>
      </c>
      <c r="G17" s="94">
        <f t="shared" si="4"/>
        <v>0.25924158437649131</v>
      </c>
      <c r="H17" s="94">
        <f t="shared" si="4"/>
        <v>0.30977538944571914</v>
      </c>
      <c r="I17" s="94">
        <f t="shared" si="4"/>
        <v>0.33513513513513515</v>
      </c>
      <c r="J17" s="96">
        <f t="shared" si="4"/>
        <v>0.33465493743030605</v>
      </c>
      <c r="K17" s="96"/>
      <c r="L17" s="74"/>
      <c r="M17" s="74"/>
      <c r="N17" s="99" t="s">
        <v>241</v>
      </c>
      <c r="O17" s="100">
        <f>(O14)+((O15)*(O16-O14))</f>
        <v>9.762570000000001E-2</v>
      </c>
      <c r="P17" s="44"/>
      <c r="Q17" s="44"/>
      <c r="R17" s="44"/>
    </row>
    <row r="18" spans="1:18" ht="22" customHeight="1" x14ac:dyDescent="0.2">
      <c r="A18" s="101" t="s">
        <v>196</v>
      </c>
      <c r="B18" s="102">
        <v>0.11976875729640252</v>
      </c>
      <c r="C18" s="102">
        <v>0.16386381285134294</v>
      </c>
      <c r="D18" s="102">
        <v>0.33293038228157096</v>
      </c>
      <c r="E18" s="102">
        <v>0.35318466009016597</v>
      </c>
      <c r="F18" s="103"/>
      <c r="G18" s="102"/>
      <c r="H18" s="102"/>
      <c r="I18" s="102"/>
      <c r="J18" s="104"/>
      <c r="K18" s="105"/>
      <c r="L18" s="74"/>
      <c r="M18" s="74"/>
      <c r="N18" s="122" t="s">
        <v>247</v>
      </c>
      <c r="O18" s="123"/>
      <c r="P18" s="44"/>
      <c r="Q18" s="44"/>
      <c r="R18" s="44"/>
    </row>
    <row r="19" spans="1:18" ht="22" customHeight="1" x14ac:dyDescent="0.2">
      <c r="A19" s="74"/>
      <c r="B19" s="74"/>
      <c r="C19" s="74"/>
      <c r="D19" s="74"/>
      <c r="E19" s="74"/>
      <c r="F19" s="74" t="s">
        <v>248</v>
      </c>
      <c r="G19" s="74"/>
      <c r="H19" s="74"/>
      <c r="I19" s="74"/>
      <c r="J19" s="74"/>
      <c r="K19" s="74"/>
      <c r="L19" s="74"/>
      <c r="M19" s="74"/>
      <c r="N19" s="56" t="s">
        <v>224</v>
      </c>
      <c r="O19" s="106">
        <f>O6+O7</f>
        <v>5584365204</v>
      </c>
      <c r="P19" s="44"/>
      <c r="Q19" s="44"/>
      <c r="R19" s="44"/>
    </row>
    <row r="20" spans="1:18" ht="22" customHeight="1" x14ac:dyDescent="0.2">
      <c r="B20" s="107"/>
      <c r="C20" s="107"/>
      <c r="D20" s="107"/>
      <c r="E20" s="107"/>
      <c r="F20" s="74"/>
      <c r="G20" s="74"/>
      <c r="H20" s="74"/>
      <c r="I20" s="74"/>
      <c r="J20" s="74"/>
      <c r="K20" s="74"/>
      <c r="L20" s="74"/>
      <c r="M20" s="74"/>
      <c r="N20" s="56" t="s">
        <v>201</v>
      </c>
      <c r="O20" s="106">
        <f>A3</f>
        <v>251155200000</v>
      </c>
      <c r="P20" s="44"/>
      <c r="Q20" s="44"/>
      <c r="R20" s="44"/>
    </row>
    <row r="21" spans="1:18" ht="22" customHeight="1" x14ac:dyDescent="0.2">
      <c r="A21" s="124" t="str" cm="1">
        <f t="array" ref="A21">_FV(A1,"Industry")</f>
        <v>Semiconductors &amp; Semiconductor Equipment</v>
      </c>
      <c r="B21" s="124"/>
      <c r="C21" s="124"/>
      <c r="D21" s="125" cm="1">
        <f t="array" ref="D21">_FV(A1,"Year incorporated",TRUE)</f>
        <v>1994</v>
      </c>
      <c r="E21" s="125"/>
      <c r="F21" s="74"/>
      <c r="G21" s="74"/>
      <c r="H21" s="74"/>
      <c r="I21" s="74"/>
      <c r="J21" s="74"/>
      <c r="K21" s="74"/>
      <c r="M21" s="74"/>
      <c r="N21" s="56" t="s">
        <v>249</v>
      </c>
      <c r="O21" s="106">
        <f>O19+O20</f>
        <v>256739565204</v>
      </c>
      <c r="P21" s="44"/>
      <c r="Q21" s="44"/>
      <c r="R21" s="44"/>
    </row>
    <row r="22" spans="1:18" ht="22" customHeight="1" x14ac:dyDescent="0.2">
      <c r="A22" s="113" t="str" cm="1">
        <f t="array" ref="A22">_FV(A1,"Description")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B22" s="113"/>
      <c r="C22" s="113"/>
      <c r="D22" s="113"/>
      <c r="E22" s="113"/>
      <c r="F22" s="74"/>
      <c r="G22" s="74"/>
      <c r="H22" s="74"/>
      <c r="I22" s="74"/>
      <c r="J22" s="74"/>
      <c r="K22" s="74"/>
      <c r="L22" s="74"/>
      <c r="M22" s="74"/>
      <c r="N22" s="75" t="s">
        <v>250</v>
      </c>
      <c r="O22" s="108">
        <f>(O19/O21)</f>
        <v>2.1751089278206022E-2</v>
      </c>
      <c r="P22" s="44"/>
      <c r="Q22" s="44"/>
      <c r="R22" s="44"/>
    </row>
    <row r="23" spans="1:18" ht="22" customHeight="1" x14ac:dyDescent="0.2">
      <c r="A23" s="113"/>
      <c r="B23" s="113"/>
      <c r="C23" s="113"/>
      <c r="D23" s="113"/>
      <c r="E23" s="113"/>
      <c r="F23" s="74"/>
      <c r="G23" s="74"/>
      <c r="H23" s="74"/>
      <c r="I23" s="74"/>
      <c r="J23" s="74"/>
      <c r="K23" s="74"/>
      <c r="L23" s="74"/>
      <c r="M23" s="74"/>
      <c r="N23" s="99" t="s">
        <v>251</v>
      </c>
      <c r="O23" s="109">
        <f>O20/O21</f>
        <v>0.97824891072179398</v>
      </c>
      <c r="P23" s="44"/>
      <c r="Q23" s="44"/>
      <c r="R23" s="44"/>
    </row>
    <row r="24" spans="1:18" ht="22" customHeight="1" x14ac:dyDescent="0.2">
      <c r="A24" s="113"/>
      <c r="B24" s="113"/>
      <c r="C24" s="113"/>
      <c r="D24" s="113"/>
      <c r="E24" s="113"/>
      <c r="F24" s="74"/>
      <c r="G24" s="74"/>
      <c r="H24" s="74"/>
      <c r="I24" s="74"/>
      <c r="J24" s="74"/>
      <c r="K24" s="74"/>
      <c r="L24" s="74"/>
      <c r="M24" s="74"/>
      <c r="N24" s="114" t="s">
        <v>252</v>
      </c>
      <c r="O24" s="115"/>
      <c r="P24" s="44"/>
      <c r="Q24" s="44"/>
      <c r="R24" s="44"/>
    </row>
    <row r="25" spans="1:18" ht="22" customHeight="1" x14ac:dyDescent="0.2">
      <c r="A25" s="113"/>
      <c r="B25" s="113"/>
      <c r="C25" s="113"/>
      <c r="D25" s="113"/>
      <c r="E25" s="113"/>
      <c r="F25" s="74"/>
      <c r="G25" s="74"/>
      <c r="H25" s="74"/>
      <c r="I25" s="74"/>
      <c r="J25" s="74"/>
      <c r="K25" s="74"/>
      <c r="L25" s="74"/>
      <c r="M25" s="74"/>
      <c r="N25" s="116">
        <f>(O22*O12)+(O23*O17)</f>
        <v>9.5569105560634304E-2</v>
      </c>
      <c r="O25" s="117"/>
      <c r="P25" s="44"/>
      <c r="Q25" s="44"/>
      <c r="R25" s="44"/>
    </row>
    <row r="26" spans="1:18" ht="22" customHeight="1" x14ac:dyDescent="0.2">
      <c r="A26" s="113"/>
      <c r="B26" s="113"/>
      <c r="C26" s="113"/>
      <c r="D26" s="113"/>
      <c r="E26" s="113"/>
      <c r="F26" s="74"/>
      <c r="G26" s="74"/>
      <c r="H26" s="74"/>
      <c r="I26" s="74"/>
      <c r="J26" s="74"/>
      <c r="K26" s="74"/>
      <c r="L26" s="74"/>
      <c r="M26" s="74"/>
      <c r="N26" s="74"/>
      <c r="O26" s="44"/>
      <c r="P26" s="44"/>
      <c r="Q26" s="44"/>
      <c r="R26" s="44"/>
    </row>
    <row r="27" spans="1:18" ht="22" customHeight="1" x14ac:dyDescent="0.2">
      <c r="A27" s="113"/>
      <c r="B27" s="113"/>
      <c r="C27" s="113"/>
      <c r="D27" s="113"/>
      <c r="E27" s="113"/>
      <c r="F27" s="74"/>
      <c r="G27" s="74"/>
      <c r="H27" s="74"/>
      <c r="I27" s="74"/>
      <c r="J27" s="74"/>
      <c r="K27" s="74"/>
      <c r="L27" s="74"/>
      <c r="M27" s="74"/>
      <c r="N27" s="74"/>
      <c r="O27" s="44"/>
      <c r="P27" s="44"/>
      <c r="Q27" s="44"/>
      <c r="R27" s="44"/>
    </row>
    <row r="28" spans="1:18" ht="22" customHeight="1" x14ac:dyDescent="0.2">
      <c r="A28" s="113"/>
      <c r="B28" s="113"/>
      <c r="C28" s="113"/>
      <c r="D28" s="113"/>
      <c r="E28" s="113"/>
      <c r="F28" s="74"/>
      <c r="G28" s="74"/>
      <c r="H28" s="74"/>
      <c r="I28" s="74"/>
      <c r="J28" s="74"/>
      <c r="K28" s="74"/>
      <c r="L28" s="74"/>
      <c r="M28" s="74"/>
      <c r="N28" s="74"/>
      <c r="O28" s="44"/>
      <c r="P28" s="44"/>
      <c r="Q28" s="44"/>
      <c r="R28" s="44"/>
    </row>
    <row r="29" spans="1:18" ht="22" customHeight="1" x14ac:dyDescent="0.2">
      <c r="A29" s="113"/>
      <c r="B29" s="113"/>
      <c r="C29" s="113"/>
      <c r="D29" s="113"/>
      <c r="E29" s="113"/>
      <c r="F29" s="74"/>
      <c r="G29" s="74"/>
      <c r="H29" s="74"/>
      <c r="I29" s="74"/>
      <c r="J29" s="74"/>
      <c r="K29" s="74"/>
      <c r="L29" s="74"/>
      <c r="M29" s="74"/>
      <c r="N29" s="74"/>
      <c r="O29" s="44"/>
      <c r="P29" s="44"/>
      <c r="Q29" s="44"/>
      <c r="R29" s="44"/>
    </row>
    <row r="30" spans="1:18" ht="22" customHeight="1" x14ac:dyDescent="0.2">
      <c r="A30" s="126"/>
      <c r="B30" s="126"/>
      <c r="C30" s="126"/>
      <c r="D30" s="126"/>
      <c r="E30" s="126"/>
      <c r="F30" s="74"/>
      <c r="G30" s="74"/>
      <c r="H30" s="74"/>
      <c r="I30" s="74"/>
      <c r="J30" s="74"/>
      <c r="K30" s="74"/>
      <c r="L30" s="74"/>
      <c r="M30" s="74"/>
      <c r="N30" s="74"/>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4"/>
      <c r="B33" s="74"/>
      <c r="C33" s="74"/>
      <c r="D33" s="74"/>
      <c r="E33" s="74"/>
      <c r="F33" s="74"/>
      <c r="G33" s="74"/>
      <c r="H33" s="74"/>
      <c r="I33" s="74"/>
      <c r="J33" s="74"/>
      <c r="K33" s="74"/>
      <c r="L33" s="74"/>
      <c r="M33" s="74"/>
      <c r="N33" s="74"/>
      <c r="O33" s="74"/>
      <c r="P33" s="74"/>
      <c r="Q33" s="44"/>
      <c r="R33" s="44"/>
    </row>
    <row r="34" spans="1:18" x14ac:dyDescent="0.2">
      <c r="A34" s="74"/>
      <c r="B34" s="74"/>
      <c r="C34" s="74"/>
      <c r="D34" s="74"/>
      <c r="E34" s="74"/>
      <c r="F34" s="74"/>
      <c r="G34" s="74"/>
      <c r="H34" s="74"/>
      <c r="I34" s="74"/>
      <c r="J34" s="74"/>
      <c r="K34" s="74"/>
      <c r="L34" s="74"/>
      <c r="M34" s="74"/>
      <c r="N34" s="74"/>
      <c r="O34" s="74"/>
      <c r="P34" s="74"/>
      <c r="Q34" s="44"/>
      <c r="R34" s="44"/>
    </row>
    <row r="35" spans="1:18" x14ac:dyDescent="0.2">
      <c r="A35" s="74"/>
      <c r="B35" s="74"/>
      <c r="C35" s="74"/>
      <c r="D35" s="74"/>
      <c r="E35" s="74"/>
      <c r="F35" s="74"/>
      <c r="G35" s="74"/>
      <c r="H35" s="74"/>
      <c r="I35" s="74"/>
      <c r="J35" s="74"/>
      <c r="K35" s="74"/>
      <c r="L35" s="74"/>
      <c r="M35" s="74"/>
      <c r="N35" s="74"/>
      <c r="O35" s="74"/>
      <c r="P35" s="74"/>
      <c r="Q35" s="44"/>
      <c r="R35" s="44"/>
    </row>
    <row r="36" spans="1:18" x14ac:dyDescent="0.2">
      <c r="A36" s="74"/>
      <c r="B36" s="74"/>
      <c r="C36" s="74"/>
      <c r="D36" s="74"/>
      <c r="E36" s="74"/>
      <c r="F36" s="74"/>
      <c r="G36" s="74"/>
      <c r="H36" s="74"/>
      <c r="I36" s="74"/>
      <c r="J36" s="74"/>
      <c r="K36" s="74"/>
      <c r="L36" s="74"/>
      <c r="M36" s="74"/>
      <c r="N36" s="74"/>
      <c r="O36" s="74"/>
      <c r="P36" s="74"/>
      <c r="Q36" s="44"/>
      <c r="R36" s="44"/>
    </row>
    <row r="37" spans="1:18" x14ac:dyDescent="0.2">
      <c r="A37" s="74"/>
      <c r="B37" s="74"/>
      <c r="C37" s="74"/>
      <c r="D37" s="74"/>
      <c r="E37" s="74"/>
      <c r="F37" s="74"/>
      <c r="G37" s="74"/>
      <c r="H37" s="74"/>
      <c r="I37" s="74"/>
      <c r="J37" s="74"/>
      <c r="K37" s="74"/>
      <c r="L37" s="74"/>
      <c r="M37" s="74"/>
      <c r="N37" s="74"/>
      <c r="O37" s="74"/>
      <c r="P37" s="74"/>
      <c r="Q37" s="44"/>
      <c r="R37" s="44"/>
    </row>
    <row r="38" spans="1:18" x14ac:dyDescent="0.2">
      <c r="A38" s="74"/>
      <c r="B38" s="74"/>
      <c r="C38" s="74"/>
      <c r="D38" s="74"/>
      <c r="E38" s="74"/>
      <c r="F38" s="74"/>
      <c r="G38" s="74"/>
      <c r="H38" s="74"/>
      <c r="I38" s="74"/>
      <c r="J38" s="74"/>
      <c r="K38" s="74"/>
      <c r="L38" s="74"/>
      <c r="M38" s="74"/>
      <c r="N38" s="74"/>
      <c r="O38" s="74"/>
      <c r="P38" s="74"/>
      <c r="Q38" s="44"/>
      <c r="R38" s="44"/>
    </row>
    <row r="39" spans="1:18" x14ac:dyDescent="0.2">
      <c r="A39" s="74"/>
      <c r="B39" s="74"/>
      <c r="C39" s="74"/>
      <c r="D39" s="74"/>
      <c r="E39" s="74"/>
      <c r="F39" s="74"/>
      <c r="G39" s="74"/>
      <c r="H39" s="74"/>
      <c r="I39" s="74"/>
      <c r="J39" s="74"/>
      <c r="K39" s="74"/>
      <c r="L39" s="74"/>
      <c r="M39" s="74"/>
      <c r="N39" s="74"/>
      <c r="O39" s="74"/>
      <c r="P39" s="74"/>
      <c r="Q39" s="44"/>
      <c r="R39" s="44"/>
    </row>
    <row r="40" spans="1:18" x14ac:dyDescent="0.2">
      <c r="A40" s="74"/>
      <c r="B40" s="74"/>
      <c r="C40" s="74"/>
      <c r="D40" s="74"/>
      <c r="E40" s="74"/>
      <c r="F40" s="74"/>
      <c r="G40" s="74"/>
      <c r="H40" s="74"/>
      <c r="I40" s="74"/>
      <c r="J40" s="74"/>
      <c r="K40" s="74"/>
      <c r="L40" s="74"/>
      <c r="M40" s="74"/>
      <c r="N40" s="74"/>
      <c r="O40" s="74"/>
      <c r="P40" s="74"/>
      <c r="Q40" s="44"/>
      <c r="R40" s="44"/>
    </row>
    <row r="41" spans="1:18" x14ac:dyDescent="0.2">
      <c r="A41" s="74"/>
      <c r="B41" s="74"/>
      <c r="C41" s="74"/>
      <c r="D41" s="74"/>
      <c r="E41" s="74"/>
      <c r="F41" s="74"/>
      <c r="G41" s="74"/>
      <c r="H41" s="74"/>
      <c r="I41" s="74"/>
      <c r="J41" s="74"/>
      <c r="K41" s="74"/>
      <c r="L41" s="74"/>
      <c r="M41" s="74"/>
      <c r="N41" s="74"/>
      <c r="O41" s="74"/>
      <c r="P41" s="74"/>
      <c r="Q41" s="44"/>
      <c r="R41" s="44"/>
    </row>
    <row r="42" spans="1:18" x14ac:dyDescent="0.2">
      <c r="A42" s="74"/>
      <c r="B42" s="74"/>
      <c r="C42" s="74"/>
      <c r="D42" s="74"/>
      <c r="E42" s="74"/>
      <c r="F42" s="74"/>
      <c r="G42" s="74"/>
      <c r="H42" s="74"/>
      <c r="I42" s="74"/>
      <c r="J42" s="74"/>
      <c r="K42" s="74"/>
      <c r="L42" s="74"/>
      <c r="M42" s="74"/>
      <c r="N42" s="74"/>
      <c r="O42" s="74"/>
      <c r="P42" s="74"/>
      <c r="Q42" s="44"/>
      <c r="R42" s="44"/>
    </row>
    <row r="43" spans="1:18" x14ac:dyDescent="0.2">
      <c r="A43" s="74"/>
      <c r="B43" s="74"/>
      <c r="C43" s="74"/>
      <c r="D43" s="74"/>
      <c r="E43" s="74"/>
      <c r="F43" s="74"/>
      <c r="G43" s="74"/>
      <c r="H43" s="74"/>
      <c r="I43" s="74"/>
      <c r="J43" s="74"/>
      <c r="K43" s="74"/>
      <c r="L43" s="74"/>
      <c r="M43" s="74"/>
      <c r="N43" s="74"/>
      <c r="O43" s="74"/>
      <c r="P43" s="74"/>
      <c r="Q43" s="44"/>
      <c r="R43" s="44"/>
    </row>
    <row r="44" spans="1:18" x14ac:dyDescent="0.2">
      <c r="A44" s="74"/>
      <c r="B44" s="74"/>
      <c r="C44" s="74"/>
      <c r="D44" s="74"/>
      <c r="E44" s="74"/>
      <c r="F44" s="74"/>
      <c r="G44" s="74"/>
      <c r="H44" s="74"/>
      <c r="I44" s="74"/>
      <c r="J44" s="74"/>
      <c r="K44" s="74"/>
      <c r="L44" s="74"/>
      <c r="M44" s="74"/>
      <c r="N44" s="74"/>
      <c r="O44" s="74"/>
      <c r="P44" s="74"/>
      <c r="Q44" s="44"/>
      <c r="R44" s="44"/>
    </row>
    <row r="45" spans="1:18" x14ac:dyDescent="0.2">
      <c r="A45" s="74"/>
      <c r="B45" s="74"/>
      <c r="C45" s="74"/>
      <c r="D45" s="74"/>
      <c r="E45" s="74"/>
      <c r="F45" s="74"/>
      <c r="G45" s="74"/>
      <c r="H45" s="74"/>
      <c r="I45" s="74"/>
      <c r="J45" s="74"/>
      <c r="K45" s="74"/>
      <c r="L45" s="74"/>
      <c r="M45" s="74"/>
      <c r="N45" s="74"/>
      <c r="O45" s="74"/>
      <c r="P45" s="74"/>
      <c r="Q45" s="44"/>
      <c r="R45" s="44"/>
    </row>
    <row r="46" spans="1:18" x14ac:dyDescent="0.2">
      <c r="A46" s="74"/>
      <c r="B46" s="74"/>
      <c r="C46" s="74"/>
      <c r="D46" s="74"/>
      <c r="E46" s="74"/>
      <c r="F46" s="74"/>
      <c r="G46" s="74"/>
      <c r="H46" s="74"/>
      <c r="I46" s="74"/>
      <c r="J46" s="74"/>
      <c r="K46" s="74"/>
      <c r="L46" s="74"/>
      <c r="M46" s="74"/>
      <c r="N46" s="74"/>
      <c r="O46" s="74"/>
      <c r="P46" s="74"/>
      <c r="Q46" s="44"/>
      <c r="R46" s="44"/>
    </row>
    <row r="47" spans="1:18" x14ac:dyDescent="0.2">
      <c r="A47" s="74"/>
      <c r="B47" s="74"/>
      <c r="C47" s="74"/>
      <c r="D47" s="74"/>
      <c r="E47" s="74"/>
      <c r="F47" s="74"/>
      <c r="G47" s="74"/>
      <c r="H47" s="74"/>
      <c r="I47" s="74"/>
      <c r="J47" s="74"/>
      <c r="K47" s="74"/>
      <c r="L47" s="74"/>
      <c r="M47" s="74"/>
      <c r="N47" s="74"/>
      <c r="O47" s="74"/>
      <c r="P47" s="74"/>
      <c r="Q47" s="44"/>
      <c r="R47" s="44"/>
    </row>
    <row r="48" spans="1:18" x14ac:dyDescent="0.2">
      <c r="A48" s="74"/>
      <c r="B48" s="74"/>
      <c r="C48" s="74"/>
      <c r="D48" s="74"/>
      <c r="E48" s="74"/>
      <c r="F48" s="74"/>
      <c r="G48" s="74"/>
      <c r="H48" s="74"/>
      <c r="I48" s="74"/>
      <c r="J48" s="74"/>
      <c r="K48" s="74"/>
      <c r="L48" s="74"/>
      <c r="M48" s="74"/>
      <c r="N48" s="74"/>
      <c r="O48" s="74"/>
      <c r="P48" s="74"/>
      <c r="Q48" s="44"/>
      <c r="R48" s="44"/>
    </row>
    <row r="49" spans="1:18" x14ac:dyDescent="0.2">
      <c r="A49" s="74"/>
      <c r="B49" s="74"/>
      <c r="C49" s="74"/>
      <c r="D49" s="74"/>
      <c r="E49" s="74"/>
      <c r="F49" s="74"/>
      <c r="G49" s="74"/>
      <c r="H49" s="74"/>
      <c r="I49" s="74"/>
      <c r="J49" s="74"/>
      <c r="K49" s="74"/>
      <c r="L49" s="74"/>
      <c r="M49" s="74"/>
      <c r="N49" s="74"/>
      <c r="O49" s="74"/>
      <c r="P49" s="74"/>
      <c r="Q49" s="44"/>
      <c r="R49" s="44"/>
    </row>
    <row r="50" spans="1:18" x14ac:dyDescent="0.2">
      <c r="A50" s="74"/>
      <c r="B50" s="74"/>
      <c r="C50" s="74"/>
      <c r="D50" s="74"/>
      <c r="E50" s="74"/>
      <c r="F50" s="74"/>
      <c r="G50" s="74"/>
      <c r="H50" s="74"/>
      <c r="I50" s="74"/>
      <c r="J50" s="74"/>
      <c r="K50" s="74"/>
      <c r="L50" s="74"/>
      <c r="M50" s="74"/>
      <c r="N50" s="74"/>
      <c r="O50" s="74"/>
      <c r="P50" s="74"/>
      <c r="Q50" s="44"/>
      <c r="R50" s="44"/>
    </row>
    <row r="51" spans="1:18" x14ac:dyDescent="0.2">
      <c r="A51" s="74"/>
      <c r="B51" s="74"/>
      <c r="C51" s="74"/>
      <c r="D51" s="74"/>
      <c r="E51" s="74"/>
      <c r="F51" s="74"/>
      <c r="G51" s="74"/>
      <c r="H51" s="74"/>
      <c r="I51" s="74"/>
      <c r="J51" s="74"/>
      <c r="K51" s="74"/>
      <c r="L51" s="74"/>
      <c r="M51" s="74"/>
      <c r="N51" s="74"/>
      <c r="O51" s="74"/>
      <c r="P51" s="74"/>
      <c r="Q51" s="44"/>
      <c r="R51" s="44"/>
    </row>
    <row r="52" spans="1:18" x14ac:dyDescent="0.2">
      <c r="A52" s="74"/>
      <c r="B52" s="74"/>
      <c r="C52" s="74"/>
      <c r="D52" s="74"/>
      <c r="E52" s="74"/>
      <c r="F52" s="74"/>
      <c r="G52" s="74"/>
      <c r="H52" s="74"/>
      <c r="I52" s="74"/>
      <c r="J52" s="74"/>
      <c r="K52" s="74"/>
      <c r="L52" s="74"/>
      <c r="M52" s="74"/>
      <c r="N52" s="74"/>
      <c r="O52" s="74"/>
      <c r="P52" s="74"/>
      <c r="Q52" s="44"/>
      <c r="R52" s="44"/>
    </row>
    <row r="53" spans="1:18" x14ac:dyDescent="0.2">
      <c r="A53" s="74"/>
      <c r="B53" s="74"/>
      <c r="C53" s="74"/>
      <c r="D53" s="74"/>
      <c r="E53" s="74"/>
      <c r="F53" s="74"/>
      <c r="G53" s="74"/>
      <c r="H53" s="74"/>
      <c r="I53" s="74"/>
      <c r="J53" s="74"/>
      <c r="K53" s="74"/>
      <c r="L53" s="74"/>
      <c r="M53" s="74"/>
      <c r="N53" s="74"/>
      <c r="O53" s="74"/>
      <c r="P53" s="74"/>
      <c r="Q53" s="44"/>
      <c r="R53" s="44"/>
    </row>
    <row r="54" spans="1:18" x14ac:dyDescent="0.2">
      <c r="A54" s="74"/>
      <c r="B54" s="74"/>
      <c r="C54" s="74"/>
      <c r="D54" s="74"/>
      <c r="E54" s="74"/>
      <c r="F54" s="74"/>
      <c r="G54" s="74"/>
      <c r="H54" s="74"/>
      <c r="I54" s="74"/>
      <c r="J54" s="74"/>
      <c r="K54" s="74"/>
      <c r="L54" s="74"/>
      <c r="M54" s="74"/>
      <c r="N54" s="74"/>
      <c r="O54" s="74"/>
      <c r="P54" s="74"/>
      <c r="Q54" s="44"/>
      <c r="R54" s="44"/>
    </row>
    <row r="55" spans="1:18" x14ac:dyDescent="0.2">
      <c r="A55" s="74"/>
      <c r="B55" s="74"/>
      <c r="C55" s="74"/>
      <c r="D55" s="74"/>
      <c r="E55" s="74"/>
      <c r="F55" s="74"/>
      <c r="G55" s="74"/>
      <c r="H55" s="74"/>
      <c r="I55" s="74"/>
      <c r="J55" s="74"/>
      <c r="K55" s="74"/>
      <c r="L55" s="74"/>
      <c r="M55" s="74"/>
      <c r="N55" s="74"/>
      <c r="O55" s="74"/>
      <c r="P55" s="74"/>
      <c r="Q55" s="44"/>
      <c r="R55" s="44"/>
    </row>
    <row r="56" spans="1:18" x14ac:dyDescent="0.2">
      <c r="A56" s="74"/>
      <c r="B56" s="74"/>
      <c r="C56" s="74"/>
      <c r="D56" s="74"/>
      <c r="E56" s="74"/>
      <c r="F56" s="74"/>
      <c r="G56" s="74"/>
      <c r="H56" s="74"/>
      <c r="I56" s="74"/>
      <c r="J56" s="74"/>
      <c r="K56" s="74"/>
      <c r="L56" s="74"/>
      <c r="M56" s="74"/>
      <c r="N56" s="74"/>
      <c r="O56" s="74"/>
      <c r="P56" s="74"/>
      <c r="Q56" s="44"/>
      <c r="R56" s="44"/>
    </row>
    <row r="57" spans="1:18" x14ac:dyDescent="0.2">
      <c r="A57" s="74"/>
      <c r="B57" s="74"/>
      <c r="C57" s="74"/>
      <c r="D57" s="74"/>
      <c r="E57" s="74"/>
      <c r="F57" s="74"/>
      <c r="G57" s="74"/>
      <c r="H57" s="74"/>
      <c r="I57" s="74"/>
      <c r="J57" s="74"/>
      <c r="K57" s="74"/>
      <c r="L57" s="74"/>
      <c r="M57" s="74"/>
      <c r="N57" s="74"/>
      <c r="O57" s="74"/>
      <c r="P57" s="74"/>
      <c r="Q57" s="44"/>
      <c r="R57" s="44"/>
    </row>
    <row r="58" spans="1:18" x14ac:dyDescent="0.2">
      <c r="A58" s="74"/>
      <c r="B58" s="74"/>
      <c r="C58" s="74"/>
      <c r="D58" s="74"/>
      <c r="E58" s="74"/>
      <c r="F58" s="74"/>
      <c r="G58" s="74"/>
      <c r="H58" s="74"/>
      <c r="I58" s="74"/>
      <c r="J58" s="74"/>
      <c r="K58" s="74"/>
      <c r="L58" s="74"/>
      <c r="M58" s="74"/>
      <c r="N58" s="74"/>
      <c r="O58" s="74"/>
      <c r="P58" s="74"/>
      <c r="Q58" s="44"/>
      <c r="R58" s="44"/>
    </row>
    <row r="59" spans="1:18" x14ac:dyDescent="0.2">
      <c r="A59" s="74"/>
      <c r="B59" s="74"/>
      <c r="C59" s="74"/>
      <c r="D59" s="74"/>
      <c r="E59" s="74"/>
      <c r="F59" s="74"/>
      <c r="G59" s="74"/>
      <c r="H59" s="74"/>
      <c r="I59" s="74"/>
      <c r="J59" s="74"/>
      <c r="K59" s="74"/>
      <c r="L59" s="74"/>
      <c r="M59" s="74"/>
      <c r="N59" s="74"/>
      <c r="O59" s="74"/>
      <c r="P59" s="74"/>
      <c r="Q59" s="44"/>
      <c r="R59" s="44"/>
    </row>
    <row r="60" spans="1:18" x14ac:dyDescent="0.2">
      <c r="A60" s="74"/>
      <c r="B60" s="74"/>
      <c r="C60" s="74"/>
      <c r="D60" s="74"/>
      <c r="E60" s="74"/>
      <c r="F60" s="74"/>
      <c r="G60" s="74"/>
      <c r="H60" s="74"/>
      <c r="I60" s="74"/>
      <c r="J60" s="74"/>
      <c r="K60" s="74"/>
      <c r="L60" s="74"/>
      <c r="M60" s="74"/>
      <c r="N60" s="74"/>
      <c r="O60" s="74"/>
      <c r="P60" s="74"/>
      <c r="Q60" s="44"/>
      <c r="R60" s="44"/>
    </row>
    <row r="61" spans="1:18" x14ac:dyDescent="0.2">
      <c r="A61" s="74"/>
      <c r="B61" s="74"/>
      <c r="C61" s="74"/>
      <c r="D61" s="74"/>
      <c r="E61" s="74"/>
      <c r="F61" s="74"/>
      <c r="G61" s="74"/>
      <c r="H61" s="74"/>
      <c r="I61" s="74"/>
      <c r="J61" s="74"/>
      <c r="K61" s="74"/>
      <c r="L61" s="74"/>
      <c r="M61" s="74"/>
      <c r="N61" s="74"/>
      <c r="O61" s="74"/>
      <c r="P61" s="74"/>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N24:O24"/>
    <mergeCell ref="N25:O25"/>
    <mergeCell ref="A1:XFD2"/>
    <mergeCell ref="N3:O3"/>
    <mergeCell ref="N4:O4"/>
    <mergeCell ref="N13:O13"/>
    <mergeCell ref="N18:O18"/>
    <mergeCell ref="A21:C21"/>
    <mergeCell ref="D21:E21"/>
    <mergeCell ref="A22:E29"/>
  </mergeCells>
  <hyperlinks>
    <hyperlink ref="F9" r:id="rId1" display="https://finbox.com/ENXTAM:ASML/explorer/revenue_proj" xr:uid="{7A08AF15-37BB-BA41-8192-D1A7680BEFFB}"/>
  </hyperlinks>
  <pageMargins left="0.7" right="0.7" top="0.75" bottom="0.75" header="0.3" footer="0.3"/>
  <ignoredErrors>
    <ignoredError sqref="F12:J12"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2023-12-03T14:46:02Z</dcterms:modified>
</cp:coreProperties>
</file>