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B93B2390-F54D-4643-843F-86EA6892850A}"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O10" i="2"/>
  <c r="O9" i="2"/>
  <c r="O7" i="2"/>
  <c r="G7" i="2"/>
  <c r="E7" i="2"/>
  <c r="O6" i="2"/>
  <c r="O8" i="2" s="1"/>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G4" i="2" s="1"/>
  <c r="K4" i="2" a="1"/>
  <c r="K4" i="2" s="1"/>
  <c r="A3" i="2" a="1"/>
  <c r="A3" i="2" s="1"/>
  <c r="K3" i="2" s="1"/>
  <c r="S190" i="1"/>
  <c r="R190" i="1"/>
  <c r="Q190" i="1"/>
  <c r="P190" i="1"/>
  <c r="O190" i="1"/>
  <c r="N190" i="1"/>
  <c r="M190" i="1"/>
  <c r="L190" i="1"/>
  <c r="K190" i="1"/>
  <c r="J190" i="1"/>
  <c r="I190" i="1"/>
  <c r="H190" i="1"/>
  <c r="G190" i="1"/>
  <c r="F190" i="1"/>
  <c r="E190" i="1"/>
  <c r="D190" i="1"/>
  <c r="C190" i="1"/>
  <c r="B190" i="1"/>
  <c r="M189" i="1"/>
  <c r="N189" i="1"/>
  <c r="S189" i="1"/>
  <c r="R189" i="1"/>
  <c r="Q189" i="1"/>
  <c r="O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2" i="2" l="1"/>
  <c r="K16" i="2"/>
  <c r="K13" i="2"/>
  <c r="K11" i="2"/>
  <c r="E5"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<sst xmlns="http://schemas.openxmlformats.org/spreadsheetml/2006/main" count="1273" uniqueCount="252">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</sst>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26" fillId="0" borderId="1" xfId="0" applyFont="1" applyBorder="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4.6280000000000002E-2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231.71</v>
    <v>162.38999999999999</v>
    <v>0.86499999999999999</v>
    <v>2.92</v>
    <v>1.3354E-2</v>
    <v>-0.77</v>
    <v>-3.4749999999999998E-3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223.57</v>
    <v>Aerospace &amp; Defense</v>
    <v>Stock</v>
    <v>45245.04096428203</v>
    <v>0</v>
    <v>220.51</v>
    <v>16603838051</v>
    <v>AXON ENTERPRISE, INC.</v>
    <v>AXON ENTERPRISE, INC.</v>
    <v>221.36</v>
    <v>111.7499</v>
    <v>218.66</v>
    <v>221.58</v>
    <v>220.81</v>
    <v>74933830</v>
    <v>AXON</v>
    <v>AXON ENTERPRISE, INC. (XNAS:AXON)</v>
    <v>586710</v>
    <v>504437</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XO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XO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0" workbookViewId="0">
      <pane xSplit="1" topLeftCell="J1" activePane="topRight" state="frozen"/>
      <selection pane="topRight" activeCell="O173" sqref="O173"/>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86930019</v>
      </c>
      <c r="C2" s="30">
        <v>90027906</v>
      </c>
      <c r="D2" s="30">
        <v>114752748</v>
      </c>
      <c r="E2" s="30">
        <v>137831000</v>
      </c>
      <c r="F2" s="30">
        <v>164525000</v>
      </c>
      <c r="G2" s="30">
        <v>197892000</v>
      </c>
      <c r="H2" s="30">
        <v>268245000</v>
      </c>
      <c r="I2" s="30">
        <v>343798000</v>
      </c>
      <c r="J2" s="30">
        <v>420068000</v>
      </c>
      <c r="K2" s="30">
        <v>530860000</v>
      </c>
      <c r="L2" s="30">
        <v>681003000</v>
      </c>
      <c r="M2" s="30">
        <v>863381000</v>
      </c>
      <c r="N2" s="30">
        <v>1189935000</v>
      </c>
      <c r="O2" s="31">
        <v>1365544000</v>
      </c>
      <c r="P2" s="30">
        <v>311754000</v>
      </c>
      <c r="Q2" s="30">
        <v>336142000</v>
      </c>
      <c r="R2" s="30">
        <v>343043000</v>
      </c>
      <c r="S2" s="30">
        <v>374605000</v>
      </c>
    </row>
    <row r="3" spans="1:30" ht="19" x14ac:dyDescent="0.25">
      <c r="A3" s="9" t="s">
        <v>191</v>
      </c>
      <c r="B3" s="10"/>
      <c r="C3" s="11">
        <f t="shared" ref="C3:O3" si="0">(C2/B2)-1</f>
        <v>3.5636561864780036E-2</v>
      </c>
      <c r="D3" s="11">
        <f t="shared" si="0"/>
        <v>0.27463531141110842</v>
      </c>
      <c r="E3" s="11">
        <f t="shared" si="0"/>
        <v>0.2011128482953628</v>
      </c>
      <c r="F3" s="11">
        <f t="shared" si="0"/>
        <v>0.19367196058941749</v>
      </c>
      <c r="G3" s="11">
        <f t="shared" si="0"/>
        <v>0.20280808387783011</v>
      </c>
      <c r="H3" s="11">
        <f t="shared" si="0"/>
        <v>0.35551209750773149</v>
      </c>
      <c r="I3" s="11">
        <f t="shared" si="0"/>
        <v>0.28165669443978447</v>
      </c>
      <c r="J3" s="11">
        <f t="shared" si="0"/>
        <v>0.22184538595337955</v>
      </c>
      <c r="K3" s="11">
        <f t="shared" si="0"/>
        <v>0.26374777416989637</v>
      </c>
      <c r="L3" s="11">
        <f t="shared" si="0"/>
        <v>0.28282974795614657</v>
      </c>
      <c r="M3" s="11">
        <f t="shared" si="0"/>
        <v>0.26780792448785107</v>
      </c>
      <c r="N3" s="11">
        <f t="shared" si="0"/>
        <v>0.37822699364475243</v>
      </c>
      <c r="O3" s="11">
        <f t="shared" si="0"/>
        <v>0.14757864925395081</v>
      </c>
      <c r="P3" s="11"/>
      <c r="Q3" s="11">
        <f>(Q2/P2)-1</f>
        <v>7.8228346709264374E-2</v>
      </c>
      <c r="R3" s="11">
        <f>(R2/Q2)-1</f>
        <v>2.0530014101183491E-2</v>
      </c>
      <c r="S3" s="11">
        <f>(S2/R2)-1</f>
        <v>9.2005958436697455E-2</v>
      </c>
      <c r="T3" s="12"/>
      <c r="U3" s="12"/>
      <c r="V3" s="12"/>
      <c r="W3" s="12"/>
      <c r="X3" s="12"/>
      <c r="Y3" s="12"/>
      <c r="Z3" s="12"/>
      <c r="AA3" s="13"/>
      <c r="AB3" s="13"/>
      <c r="AC3" s="13"/>
      <c r="AD3" s="13"/>
    </row>
    <row r="4" spans="1:30" ht="16" x14ac:dyDescent="0.2">
      <c r="A4" s="2" t="s">
        <v>19</v>
      </c>
      <c r="B4" s="3">
        <v>86930019</v>
      </c>
      <c r="C4" s="3">
        <v>90027906</v>
      </c>
      <c r="D4" s="3">
        <v>114752748</v>
      </c>
      <c r="E4" s="3">
        <v>137831000</v>
      </c>
      <c r="F4" s="3">
        <v>164525000</v>
      </c>
      <c r="G4" s="3">
        <v>197892000</v>
      </c>
      <c r="H4" s="3">
        <v>268245000</v>
      </c>
      <c r="I4" s="3">
        <v>343798000</v>
      </c>
      <c r="J4" s="3">
        <v>420068000</v>
      </c>
      <c r="K4" s="3">
        <v>530860000</v>
      </c>
      <c r="L4" s="3">
        <v>681003000</v>
      </c>
      <c r="M4" s="3">
        <v>863381000</v>
      </c>
      <c r="N4" s="3">
        <v>1189935000</v>
      </c>
      <c r="O4" s="4">
        <v>1365544000</v>
      </c>
      <c r="P4" s="3">
        <v>311754000</v>
      </c>
      <c r="Q4" s="3">
        <v>336142000</v>
      </c>
      <c r="R4" s="3">
        <v>343043000</v>
      </c>
      <c r="S4" s="3">
        <v>374605000</v>
      </c>
    </row>
    <row r="5" spans="1:30" ht="16" x14ac:dyDescent="0.2">
      <c r="A5" s="2" t="s">
        <v>20</v>
      </c>
      <c r="B5" s="3">
        <v>41563144</v>
      </c>
      <c r="C5" s="3">
        <v>45498669</v>
      </c>
      <c r="D5" s="3">
        <v>47038173</v>
      </c>
      <c r="E5" s="3">
        <v>51988000</v>
      </c>
      <c r="F5" s="3">
        <v>62977000</v>
      </c>
      <c r="G5" s="3">
        <v>69245000</v>
      </c>
      <c r="H5" s="3">
        <v>97709000</v>
      </c>
      <c r="I5" s="3">
        <v>136710000</v>
      </c>
      <c r="J5" s="3">
        <v>161485000</v>
      </c>
      <c r="K5" s="3">
        <v>223574000</v>
      </c>
      <c r="L5" s="3">
        <v>264672000</v>
      </c>
      <c r="M5" s="3">
        <v>322471000</v>
      </c>
      <c r="N5" s="3">
        <v>461297000</v>
      </c>
      <c r="O5" s="4">
        <v>530385000</v>
      </c>
      <c r="P5" s="3">
        <v>118497000</v>
      </c>
      <c r="Q5" s="3">
        <v>130463000</v>
      </c>
      <c r="R5" s="3">
        <v>138941000</v>
      </c>
      <c r="S5" s="3">
        <v>142484000</v>
      </c>
    </row>
    <row r="6" spans="1:30" ht="16" x14ac:dyDescent="0.2">
      <c r="A6" s="2" t="s">
        <v>21</v>
      </c>
      <c r="B6" s="3">
        <v>41563144</v>
      </c>
      <c r="C6" s="3">
        <v>45498669</v>
      </c>
      <c r="D6" s="3">
        <v>47038173</v>
      </c>
      <c r="E6" s="3">
        <v>51988000</v>
      </c>
      <c r="F6" s="3">
        <v>62977000</v>
      </c>
      <c r="G6" s="3">
        <v>69245000</v>
      </c>
      <c r="H6" s="3">
        <v>97709000</v>
      </c>
      <c r="I6" s="3">
        <v>136710000</v>
      </c>
      <c r="J6" s="3">
        <v>161485000</v>
      </c>
      <c r="K6" s="3">
        <v>223574000</v>
      </c>
      <c r="L6" s="3">
        <v>264672000</v>
      </c>
      <c r="M6" s="3">
        <v>322471000</v>
      </c>
      <c r="N6" s="3">
        <v>461297000</v>
      </c>
      <c r="O6" s="4">
        <v>530385000</v>
      </c>
      <c r="P6" s="3">
        <v>118497000</v>
      </c>
      <c r="Q6" s="3">
        <v>130463000</v>
      </c>
      <c r="R6" s="3">
        <v>138941000</v>
      </c>
      <c r="S6" s="3">
        <v>142484000</v>
      </c>
    </row>
    <row r="7" spans="1:30" ht="16" x14ac:dyDescent="0.2">
      <c r="A7" s="38" t="s">
        <v>22</v>
      </c>
      <c r="B7" s="34">
        <v>45366875</v>
      </c>
      <c r="C7" s="34">
        <v>44529237</v>
      </c>
      <c r="D7" s="34">
        <v>67714575</v>
      </c>
      <c r="E7" s="34">
        <v>85843000</v>
      </c>
      <c r="F7" s="34">
        <v>101548000</v>
      </c>
      <c r="G7" s="34">
        <v>128647000</v>
      </c>
      <c r="H7" s="34">
        <v>170536000</v>
      </c>
      <c r="I7" s="34">
        <v>207088000</v>
      </c>
      <c r="J7" s="34">
        <v>258583000</v>
      </c>
      <c r="K7" s="34">
        <v>307286000</v>
      </c>
      <c r="L7" s="34">
        <v>416331000</v>
      </c>
      <c r="M7" s="34">
        <v>540910000</v>
      </c>
      <c r="N7" s="34">
        <v>728638000</v>
      </c>
      <c r="O7" s="35">
        <v>835159000</v>
      </c>
      <c r="P7" s="34">
        <v>193257000</v>
      </c>
      <c r="Q7" s="34">
        <v>205679000</v>
      </c>
      <c r="R7" s="34">
        <v>204102000</v>
      </c>
      <c r="S7" s="34">
        <v>232121000</v>
      </c>
    </row>
    <row r="8" spans="1:30" ht="16" x14ac:dyDescent="0.2">
      <c r="A8" s="33" t="s">
        <v>58</v>
      </c>
      <c r="B8" s="36">
        <v>52.19</v>
      </c>
      <c r="C8" s="36">
        <v>49.46</v>
      </c>
      <c r="D8" s="36">
        <v>59.01</v>
      </c>
      <c r="E8" s="36">
        <v>62.28</v>
      </c>
      <c r="F8" s="36">
        <v>61.72</v>
      </c>
      <c r="G8" s="36">
        <v>65.010000000000005</v>
      </c>
      <c r="H8" s="36">
        <v>63.57</v>
      </c>
      <c r="I8" s="36">
        <v>60.24</v>
      </c>
      <c r="J8" s="36">
        <v>61.56</v>
      </c>
      <c r="K8" s="36">
        <v>57.88</v>
      </c>
      <c r="L8" s="36">
        <v>61.13</v>
      </c>
      <c r="M8" s="36">
        <v>62.65</v>
      </c>
      <c r="N8" s="36">
        <v>61.23</v>
      </c>
      <c r="O8" s="37">
        <v>61.16</v>
      </c>
      <c r="P8" s="36">
        <v>61.99</v>
      </c>
      <c r="Q8" s="36">
        <v>61.19</v>
      </c>
      <c r="R8" s="36">
        <v>59.5</v>
      </c>
      <c r="S8" s="36">
        <v>61.96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50506514</v>
      </c>
      <c r="C10" s="3">
        <v>47989674</v>
      </c>
      <c r="D10" s="3">
        <v>47225549</v>
      </c>
      <c r="E10" s="3">
        <v>56444000</v>
      </c>
      <c r="F10" s="3">
        <v>69043000</v>
      </c>
      <c r="G10" s="3">
        <v>93312000</v>
      </c>
      <c r="H10" s="3">
        <v>138685000</v>
      </c>
      <c r="I10" s="3">
        <v>194065000</v>
      </c>
      <c r="J10" s="3">
        <v>233742000</v>
      </c>
      <c r="K10" s="3">
        <v>313680000</v>
      </c>
      <c r="L10" s="3">
        <v>430481000</v>
      </c>
      <c r="M10" s="3">
        <v>709033000</v>
      </c>
      <c r="N10" s="3">
        <v>635385000</v>
      </c>
      <c r="O10" s="4">
        <v>723644000</v>
      </c>
      <c r="P10" s="3">
        <v>161150000</v>
      </c>
      <c r="Q10" s="3">
        <v>183138000</v>
      </c>
      <c r="R10" s="3">
        <v>187494000</v>
      </c>
      <c r="S10" s="3">
        <v>191862000</v>
      </c>
    </row>
    <row r="11" spans="1:30" ht="16" x14ac:dyDescent="0.2">
      <c r="A11" s="2" t="s">
        <v>26</v>
      </c>
      <c r="B11" s="3">
        <v>39094625</v>
      </c>
      <c r="C11" s="3">
        <v>38000455</v>
      </c>
      <c r="D11" s="3">
        <v>39086190</v>
      </c>
      <c r="E11" s="3">
        <v>46556000</v>
      </c>
      <c r="F11" s="3">
        <v>54158000</v>
      </c>
      <c r="G11" s="3">
        <v>69698000</v>
      </c>
      <c r="H11" s="3">
        <v>108076000</v>
      </c>
      <c r="I11" s="3">
        <v>138692000</v>
      </c>
      <c r="J11" s="3">
        <v>156886000</v>
      </c>
      <c r="K11" s="3">
        <v>212959000</v>
      </c>
      <c r="L11" s="3">
        <v>307286000</v>
      </c>
      <c r="M11" s="3">
        <v>515007000</v>
      </c>
      <c r="N11" s="3">
        <v>401575000</v>
      </c>
      <c r="O11" s="4">
        <v>452930000</v>
      </c>
      <c r="P11" s="3">
        <v>102023000</v>
      </c>
      <c r="Q11" s="3">
        <v>114418000</v>
      </c>
      <c r="R11" s="3">
        <v>116567000</v>
      </c>
      <c r="S11" s="3">
        <v>119922000</v>
      </c>
    </row>
    <row r="12" spans="1:30" ht="19" x14ac:dyDescent="0.25">
      <c r="A12" s="14" t="s">
        <v>192</v>
      </c>
      <c r="B12" s="11">
        <f t="shared" ref="B12:S12" si="1">B11/B2</f>
        <v>0.44972525543794029</v>
      </c>
      <c r="C12" s="11">
        <f t="shared" si="1"/>
        <v>0.42209639975409402</v>
      </c>
      <c r="D12" s="11">
        <f t="shared" si="1"/>
        <v>0.34061223527300627</v>
      </c>
      <c r="E12" s="11">
        <f t="shared" si="1"/>
        <v>0.33777597202371018</v>
      </c>
      <c r="F12" s="11">
        <f t="shared" si="1"/>
        <v>0.32917793648381705</v>
      </c>
      <c r="G12" s="11">
        <f t="shared" si="1"/>
        <v>0.35220221130717766</v>
      </c>
      <c r="H12" s="11">
        <f t="shared" si="1"/>
        <v>0.40290033365020783</v>
      </c>
      <c r="I12" s="11">
        <f t="shared" si="1"/>
        <v>0.40341130547588994</v>
      </c>
      <c r="J12" s="11">
        <f t="shared" si="1"/>
        <v>0.37347762743174917</v>
      </c>
      <c r="K12" s="11">
        <f t="shared" si="1"/>
        <v>0.40115849753230609</v>
      </c>
      <c r="L12" s="11">
        <f t="shared" si="1"/>
        <v>0.45122561868303074</v>
      </c>
      <c r="M12" s="11">
        <f t="shared" si="1"/>
        <v>0.59650027044838838</v>
      </c>
      <c r="N12" s="11">
        <f t="shared" si="1"/>
        <v>0.33747641677906776</v>
      </c>
      <c r="O12" s="11">
        <f t="shared" si="1"/>
        <v>0.33168466193692769</v>
      </c>
      <c r="P12" s="11">
        <f t="shared" si="1"/>
        <v>0.32725482271277995</v>
      </c>
      <c r="Q12" s="11">
        <f t="shared" si="1"/>
        <v>0.34038590833635785</v>
      </c>
      <c r="R12" s="11">
        <f t="shared" si="1"/>
        <v>0.33980288185446139</v>
      </c>
      <c r="S12" s="11">
        <f t="shared" si="1"/>
        <v>0.32012920276024076</v>
      </c>
      <c r="T12" s="12"/>
      <c r="U12" s="12"/>
      <c r="V12" s="12"/>
      <c r="W12" s="12"/>
      <c r="X12" s="12"/>
      <c r="Y12" s="12"/>
      <c r="Z12" s="12"/>
      <c r="AA12" s="13"/>
      <c r="AB12" s="13"/>
      <c r="AC12" s="13"/>
      <c r="AD12" s="13"/>
    </row>
    <row r="13" spans="1:30" ht="16" x14ac:dyDescent="0.2">
      <c r="A13" s="2" t="s">
        <v>27</v>
      </c>
      <c r="B13" s="3">
        <v>11411889</v>
      </c>
      <c r="C13" s="3">
        <v>9989219</v>
      </c>
      <c r="D13" s="3">
        <v>8139359</v>
      </c>
      <c r="E13" s="3">
        <v>9888000</v>
      </c>
      <c r="F13" s="3">
        <v>14885000</v>
      </c>
      <c r="G13" s="3">
        <v>23614000</v>
      </c>
      <c r="H13" s="3">
        <v>30609000</v>
      </c>
      <c r="I13" s="3">
        <v>55373000</v>
      </c>
      <c r="J13" s="3">
        <v>76856000</v>
      </c>
      <c r="K13" s="3">
        <v>100721000</v>
      </c>
      <c r="L13" s="3">
        <v>123195000</v>
      </c>
      <c r="M13" s="3">
        <v>194026000</v>
      </c>
      <c r="N13" s="3">
        <v>233810000</v>
      </c>
      <c r="O13" s="4">
        <v>270714000</v>
      </c>
      <c r="P13" s="3">
        <v>59127000</v>
      </c>
      <c r="Q13" s="3">
        <v>68720000</v>
      </c>
      <c r="R13" s="3">
        <v>70927000</v>
      </c>
      <c r="S13" s="3">
        <v>71940000</v>
      </c>
    </row>
    <row r="14" spans="1:30" ht="19" x14ac:dyDescent="0.25">
      <c r="A14" s="14" t="s">
        <v>193</v>
      </c>
      <c r="B14" s="11">
        <f t="shared" ref="B14:S14" si="2">B13/B2</f>
        <v>0.13127673421997066</v>
      </c>
      <c r="C14" s="11">
        <f t="shared" si="2"/>
        <v>0.1109569181804584</v>
      </c>
      <c r="D14" s="11">
        <f t="shared" si="2"/>
        <v>7.0929534515373871E-2</v>
      </c>
      <c r="E14" s="11">
        <f t="shared" si="2"/>
        <v>7.1740029456363222E-2</v>
      </c>
      <c r="F14" s="11">
        <f t="shared" si="2"/>
        <v>9.0472572557362102E-2</v>
      </c>
      <c r="G14" s="11">
        <f t="shared" si="2"/>
        <v>0.11932771410668445</v>
      </c>
      <c r="H14" s="11">
        <f t="shared" si="2"/>
        <v>0.11410837107867808</v>
      </c>
      <c r="I14" s="11">
        <f t="shared" si="2"/>
        <v>0.16106260071320949</v>
      </c>
      <c r="J14" s="11">
        <f t="shared" si="2"/>
        <v>0.18296085395697839</v>
      </c>
      <c r="K14" s="11">
        <f t="shared" si="2"/>
        <v>0.18973175601853595</v>
      </c>
      <c r="L14" s="11">
        <f t="shared" si="2"/>
        <v>0.18090228677406708</v>
      </c>
      <c r="M14" s="11">
        <f t="shared" si="2"/>
        <v>0.22472813277104778</v>
      </c>
      <c r="N14" s="11">
        <f t="shared" si="2"/>
        <v>0.19648972422863434</v>
      </c>
      <c r="O14" s="11">
        <f t="shared" si="2"/>
        <v>0.19824626668931941</v>
      </c>
      <c r="P14" s="11">
        <f t="shared" si="2"/>
        <v>0.18965915433322428</v>
      </c>
      <c r="Q14" s="11">
        <f t="shared" si="2"/>
        <v>0.20443741038013696</v>
      </c>
      <c r="R14" s="11">
        <f t="shared" si="2"/>
        <v>0.2067583364184665</v>
      </c>
      <c r="S14" s="11">
        <f t="shared" si="2"/>
        <v>0.19204228453971517</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38" t="s">
        <v>29</v>
      </c>
      <c r="B16" s="34">
        <v>-5139639</v>
      </c>
      <c r="C16" s="34">
        <v>-3460437</v>
      </c>
      <c r="D16" s="34">
        <v>20489026</v>
      </c>
      <c r="E16" s="34">
        <v>29399000</v>
      </c>
      <c r="F16" s="34">
        <v>32505000</v>
      </c>
      <c r="G16" s="34">
        <v>35335000</v>
      </c>
      <c r="H16" s="34">
        <v>31851000</v>
      </c>
      <c r="I16" s="34">
        <v>13023000</v>
      </c>
      <c r="J16" s="34">
        <v>24841000</v>
      </c>
      <c r="K16" s="34">
        <v>-6394000</v>
      </c>
      <c r="L16" s="34">
        <v>-14150000</v>
      </c>
      <c r="M16" s="34">
        <v>-168123000</v>
      </c>
      <c r="N16" s="34">
        <v>93253000</v>
      </c>
      <c r="O16" s="35">
        <v>111515000</v>
      </c>
      <c r="P16" s="34">
        <v>32107000</v>
      </c>
      <c r="Q16" s="34">
        <v>22541000</v>
      </c>
      <c r="R16" s="34">
        <v>16608000</v>
      </c>
      <c r="S16" s="34">
        <v>40259000</v>
      </c>
    </row>
    <row r="17" spans="1:30" ht="16" x14ac:dyDescent="0.2">
      <c r="A17" s="25" t="s">
        <v>59</v>
      </c>
      <c r="B17" s="39">
        <v>-5.91</v>
      </c>
      <c r="C17" s="39">
        <v>-3.84</v>
      </c>
      <c r="D17" s="39">
        <v>17.850000000000001</v>
      </c>
      <c r="E17" s="39">
        <v>21.33</v>
      </c>
      <c r="F17" s="39">
        <v>19.760000000000002</v>
      </c>
      <c r="G17" s="39">
        <v>17.86</v>
      </c>
      <c r="H17" s="39">
        <v>11.87</v>
      </c>
      <c r="I17" s="39">
        <v>3.79</v>
      </c>
      <c r="J17" s="39">
        <v>5.91</v>
      </c>
      <c r="K17" s="39">
        <v>-1.2</v>
      </c>
      <c r="L17" s="39">
        <v>-2.08</v>
      </c>
      <c r="M17" s="39">
        <v>-19.47</v>
      </c>
      <c r="N17" s="39">
        <v>7.84</v>
      </c>
      <c r="O17" s="40">
        <v>8.17</v>
      </c>
      <c r="P17" s="39">
        <v>10.3</v>
      </c>
      <c r="Q17" s="39">
        <v>6.71</v>
      </c>
      <c r="R17" s="39">
        <v>4.84</v>
      </c>
      <c r="S17" s="39">
        <v>10.75</v>
      </c>
    </row>
    <row r="18" spans="1:30" ht="19" x14ac:dyDescent="0.25">
      <c r="A18" s="15" t="s">
        <v>194</v>
      </c>
      <c r="B18" s="10"/>
      <c r="C18" s="11">
        <f>(C16/B16)-1</f>
        <v>-0.32671594250101998</v>
      </c>
      <c r="D18" s="11">
        <f>(D16/C16)-1</f>
        <v>-6.9209359973899254</v>
      </c>
      <c r="E18" s="11">
        <f>(E16/D16)-1</f>
        <v>0.43486566906596735</v>
      </c>
      <c r="F18" s="11">
        <f t="shared" ref="F18:N18" si="3">(F16/E16)-1</f>
        <v>0.10564985203578359</v>
      </c>
      <c r="G18" s="11">
        <f t="shared" si="3"/>
        <v>8.7063528687894243E-2</v>
      </c>
      <c r="H18" s="11">
        <f t="shared" si="3"/>
        <v>-9.8599122682892282E-2</v>
      </c>
      <c r="I18" s="11">
        <f t="shared" si="3"/>
        <v>-0.59112743712913252</v>
      </c>
      <c r="J18" s="11">
        <f t="shared" si="3"/>
        <v>0.90747139675957911</v>
      </c>
      <c r="K18" s="11">
        <f t="shared" si="3"/>
        <v>-1.2573970452075198</v>
      </c>
      <c r="L18" s="11">
        <f t="shared" si="3"/>
        <v>1.2130121989365028</v>
      </c>
      <c r="M18" s="11">
        <f t="shared" si="3"/>
        <v>10.881484098939929</v>
      </c>
      <c r="N18" s="11">
        <f t="shared" si="3"/>
        <v>-1.5546712823349571</v>
      </c>
      <c r="O18" s="11">
        <f>(O16/N16)-1</f>
        <v>0.1958328418388684</v>
      </c>
      <c r="P18" s="11"/>
      <c r="Q18" s="11">
        <f>(Q16/P16)-1</f>
        <v>-0.29794125891550127</v>
      </c>
      <c r="R18" s="11">
        <f>(R16/Q16)-1</f>
        <v>-0.26320926312053594</v>
      </c>
      <c r="S18" s="11">
        <f>(S16/R16)-1</f>
        <v>1.4240727360308285</v>
      </c>
      <c r="T18" s="12"/>
      <c r="U18" s="12"/>
      <c r="V18" s="12"/>
      <c r="W18" s="12"/>
      <c r="X18" s="12"/>
      <c r="Y18" s="12"/>
      <c r="Z18" s="12"/>
      <c r="AA18" s="13"/>
      <c r="AB18" s="13"/>
      <c r="AC18" s="13"/>
      <c r="AD18" s="13"/>
    </row>
    <row r="19" spans="1:30" ht="16" x14ac:dyDescent="0.2">
      <c r="A19" s="2" t="s">
        <v>30</v>
      </c>
      <c r="B19" s="3">
        <v>-25819</v>
      </c>
      <c r="C19" s="3">
        <v>6637124</v>
      </c>
      <c r="D19" s="3">
        <v>-2122336</v>
      </c>
      <c r="E19" s="3">
        <v>-1184000</v>
      </c>
      <c r="F19" s="3">
        <v>194000</v>
      </c>
      <c r="G19" s="3">
        <v>-26000</v>
      </c>
      <c r="H19" s="3">
        <v>354000</v>
      </c>
      <c r="I19" s="3">
        <v>-2738000</v>
      </c>
      <c r="J19" s="3">
        <v>-3263000</v>
      </c>
      <c r="K19" s="3">
        <v>-8464000</v>
      </c>
      <c r="L19" s="3">
        <v>-7859000</v>
      </c>
      <c r="M19" s="3">
        <v>-26748000</v>
      </c>
      <c r="N19" s="3">
        <v>-103265000</v>
      </c>
      <c r="O19" s="4">
        <v>26152000</v>
      </c>
      <c r="P19" s="3">
        <v>11249000</v>
      </c>
      <c r="Q19" s="3">
        <v>-12189000</v>
      </c>
      <c r="R19" s="3">
        <v>-25276000</v>
      </c>
      <c r="S19" s="3">
        <v>52368000</v>
      </c>
    </row>
    <row r="20" spans="1:30" ht="16" x14ac:dyDescent="0.2">
      <c r="A20" s="2" t="s">
        <v>31</v>
      </c>
      <c r="B20" s="3" t="s">
        <v>24</v>
      </c>
      <c r="C20" s="3" t="s">
        <v>24</v>
      </c>
      <c r="D20" s="3">
        <v>-82842</v>
      </c>
      <c r="E20" s="3">
        <v>-84000</v>
      </c>
      <c r="F20" s="3">
        <v>-194000</v>
      </c>
      <c r="G20" s="3" t="s">
        <v>24</v>
      </c>
      <c r="H20" s="3">
        <v>-354000</v>
      </c>
      <c r="I20" s="3" t="s">
        <v>24</v>
      </c>
      <c r="J20" s="3">
        <v>-3263000</v>
      </c>
      <c r="K20" s="3">
        <v>-8464000</v>
      </c>
      <c r="L20" s="3">
        <v>-7859000</v>
      </c>
      <c r="M20" s="3">
        <v>-26748000</v>
      </c>
      <c r="N20" s="3">
        <v>-103265000</v>
      </c>
      <c r="O20" s="4">
        <v>15843000</v>
      </c>
      <c r="P20" s="3">
        <v>-11249000</v>
      </c>
      <c r="Q20" s="3" t="s">
        <v>24</v>
      </c>
      <c r="R20" s="3">
        <v>-25276000</v>
      </c>
      <c r="S20" s="3">
        <v>52368000</v>
      </c>
    </row>
    <row r="21" spans="1:30" ht="16" x14ac:dyDescent="0.2">
      <c r="A21" s="2" t="s">
        <v>32</v>
      </c>
      <c r="B21" s="3" t="s">
        <v>24</v>
      </c>
      <c r="C21" s="3" t="s">
        <v>24</v>
      </c>
      <c r="D21" s="3" t="s">
        <v>24</v>
      </c>
      <c r="E21" s="3" t="s">
        <v>24</v>
      </c>
      <c r="F21" s="3">
        <v>-194000</v>
      </c>
      <c r="G21" s="3" t="s">
        <v>24</v>
      </c>
      <c r="H21" s="3">
        <v>-354000</v>
      </c>
      <c r="I21" s="3" t="s">
        <v>24</v>
      </c>
      <c r="J21" s="3" t="s">
        <v>24</v>
      </c>
      <c r="K21" s="3" t="s">
        <v>24</v>
      </c>
      <c r="L21" s="3" t="s">
        <v>24</v>
      </c>
      <c r="M21" s="3" t="s">
        <v>24</v>
      </c>
      <c r="N21" s="3" t="s">
        <v>24</v>
      </c>
      <c r="O21" s="4">
        <v>41119000</v>
      </c>
      <c r="P21" s="3">
        <v>-11249000</v>
      </c>
      <c r="Q21" s="3" t="s">
        <v>24</v>
      </c>
      <c r="R21" s="3" t="s">
        <v>24</v>
      </c>
      <c r="S21" s="3">
        <v>52368000</v>
      </c>
    </row>
    <row r="22" spans="1:30" ht="16" x14ac:dyDescent="0.2">
      <c r="A22" s="2" t="s">
        <v>33</v>
      </c>
      <c r="B22" s="3" t="s">
        <v>24</v>
      </c>
      <c r="C22" s="3" t="s">
        <v>24</v>
      </c>
      <c r="D22" s="3">
        <v>82842</v>
      </c>
      <c r="E22" s="3">
        <v>84000</v>
      </c>
      <c r="F22" s="3" t="s">
        <v>24</v>
      </c>
      <c r="G22" s="3" t="s">
        <v>24</v>
      </c>
      <c r="H22" s="3" t="s">
        <v>24</v>
      </c>
      <c r="I22" s="3" t="s">
        <v>24</v>
      </c>
      <c r="J22" s="3">
        <v>3263000</v>
      </c>
      <c r="K22" s="3">
        <v>8464000</v>
      </c>
      <c r="L22" s="3">
        <v>7859000</v>
      </c>
      <c r="M22" s="3">
        <v>26748000</v>
      </c>
      <c r="N22" s="3">
        <v>103265000</v>
      </c>
      <c r="O22" s="4">
        <v>25276000</v>
      </c>
      <c r="P22" s="3" t="s">
        <v>24</v>
      </c>
      <c r="Q22" s="3" t="s">
        <v>24</v>
      </c>
      <c r="R22" s="3">
        <v>25276000</v>
      </c>
      <c r="S22" s="3" t="s">
        <v>24</v>
      </c>
    </row>
    <row r="23" spans="1:30" ht="16" x14ac:dyDescent="0.2">
      <c r="A23" s="2" t="s">
        <v>34</v>
      </c>
      <c r="B23" s="3">
        <v>-25819</v>
      </c>
      <c r="C23" s="3">
        <v>6637124</v>
      </c>
      <c r="D23" s="3">
        <v>-2039494</v>
      </c>
      <c r="E23" s="3">
        <v>-1100000</v>
      </c>
      <c r="F23" s="3">
        <v>388000</v>
      </c>
      <c r="G23" s="3">
        <v>-26000</v>
      </c>
      <c r="H23" s="3">
        <v>708000</v>
      </c>
      <c r="I23" s="3">
        <v>-2738000</v>
      </c>
      <c r="J23" s="3" t="s">
        <v>24</v>
      </c>
      <c r="K23" s="3" t="s">
        <v>24</v>
      </c>
      <c r="L23" s="3" t="s">
        <v>24</v>
      </c>
      <c r="M23" s="3" t="s">
        <v>24</v>
      </c>
      <c r="N23" s="3" t="s">
        <v>24</v>
      </c>
      <c r="O23" s="4">
        <v>10309000</v>
      </c>
      <c r="P23" s="3">
        <v>22498000</v>
      </c>
      <c r="Q23" s="3">
        <v>-12189000</v>
      </c>
      <c r="R23" s="3" t="s">
        <v>24</v>
      </c>
      <c r="S23" s="3" t="s">
        <v>24</v>
      </c>
    </row>
    <row r="24" spans="1:30" ht="16" x14ac:dyDescent="0.2">
      <c r="A24" s="2" t="s">
        <v>35</v>
      </c>
      <c r="B24" s="3">
        <v>-5113820</v>
      </c>
      <c r="C24" s="3">
        <v>-10097561</v>
      </c>
      <c r="D24" s="3">
        <v>22611362</v>
      </c>
      <c r="E24" s="3">
        <v>30583000</v>
      </c>
      <c r="F24" s="3">
        <v>32311000</v>
      </c>
      <c r="G24" s="3">
        <v>35361000</v>
      </c>
      <c r="H24" s="3">
        <v>31497000</v>
      </c>
      <c r="I24" s="3">
        <v>15761000</v>
      </c>
      <c r="J24" s="3">
        <v>28104000</v>
      </c>
      <c r="K24" s="3">
        <v>2070000</v>
      </c>
      <c r="L24" s="3">
        <v>-6291000</v>
      </c>
      <c r="M24" s="3">
        <v>-141375000</v>
      </c>
      <c r="N24" s="3">
        <v>196518000</v>
      </c>
      <c r="O24" s="4">
        <v>85363000</v>
      </c>
      <c r="P24" s="3">
        <v>20858000</v>
      </c>
      <c r="Q24" s="3">
        <v>34730000</v>
      </c>
      <c r="R24" s="3">
        <v>41884000</v>
      </c>
      <c r="S24" s="3">
        <v>-12109000</v>
      </c>
    </row>
    <row r="25" spans="1:30" ht="16" x14ac:dyDescent="0.2">
      <c r="A25" s="2" t="s">
        <v>36</v>
      </c>
      <c r="B25" s="3">
        <v>-729385</v>
      </c>
      <c r="C25" s="3">
        <v>-2770340</v>
      </c>
      <c r="D25" s="3">
        <v>7873620</v>
      </c>
      <c r="E25" s="3">
        <v>10792000</v>
      </c>
      <c r="F25" s="3">
        <v>12393000</v>
      </c>
      <c r="G25" s="3">
        <v>15428000</v>
      </c>
      <c r="H25" s="3">
        <v>14200000</v>
      </c>
      <c r="I25" s="3">
        <v>10554000</v>
      </c>
      <c r="J25" s="3">
        <v>-1101000</v>
      </c>
      <c r="K25" s="3">
        <v>1188000</v>
      </c>
      <c r="L25" s="3">
        <v>-4567000</v>
      </c>
      <c r="M25" s="3">
        <v>-81357000</v>
      </c>
      <c r="N25" s="3">
        <v>49379000</v>
      </c>
      <c r="O25" s="4">
        <v>-13502000</v>
      </c>
      <c r="P25" s="3">
        <v>8727000</v>
      </c>
      <c r="Q25" s="3">
        <v>5555000</v>
      </c>
      <c r="R25" s="3">
        <v>-3255000</v>
      </c>
      <c r="S25" s="3">
        <v>-24529000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-4384435</v>
      </c>
      <c r="C27" s="3">
        <v>-7327221</v>
      </c>
      <c r="D27" s="3">
        <v>14737742</v>
      </c>
      <c r="E27" s="3">
        <v>19791000</v>
      </c>
      <c r="F27" s="3">
        <v>19918000</v>
      </c>
      <c r="G27" s="3">
        <v>19933000</v>
      </c>
      <c r="H27" s="3">
        <v>17297000</v>
      </c>
      <c r="I27" s="3">
        <v>5207000</v>
      </c>
      <c r="J27" s="3">
        <v>29205000</v>
      </c>
      <c r="K27" s="3">
        <v>882000</v>
      </c>
      <c r="L27" s="3">
        <v>-1724000</v>
      </c>
      <c r="M27" s="3">
        <v>-60018000</v>
      </c>
      <c r="N27" s="3">
        <v>147139000</v>
      </c>
      <c r="O27" s="4">
        <v>98865000</v>
      </c>
      <c r="P27" s="3">
        <v>12131000</v>
      </c>
      <c r="Q27" s="3">
        <v>29175000</v>
      </c>
      <c r="R27" s="3">
        <v>45139000</v>
      </c>
      <c r="S27" s="3">
        <v>12420000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-4384435</v>
      </c>
      <c r="C31" s="3">
        <v>-7327221</v>
      </c>
      <c r="D31" s="3">
        <v>14737742</v>
      </c>
      <c r="E31" s="3">
        <v>19791000</v>
      </c>
      <c r="F31" s="3">
        <v>19918000</v>
      </c>
      <c r="G31" s="3">
        <v>19933000</v>
      </c>
      <c r="H31" s="3">
        <v>17297000</v>
      </c>
      <c r="I31" s="3">
        <v>5207000</v>
      </c>
      <c r="J31" s="3">
        <v>29205000</v>
      </c>
      <c r="K31" s="3">
        <v>882000</v>
      </c>
      <c r="L31" s="3">
        <v>-1724000</v>
      </c>
      <c r="M31" s="3">
        <v>-60018000</v>
      </c>
      <c r="N31" s="3">
        <v>147139000</v>
      </c>
      <c r="O31" s="4">
        <v>98865000</v>
      </c>
      <c r="P31" s="3">
        <v>12131000</v>
      </c>
      <c r="Q31" s="3">
        <v>29175000</v>
      </c>
      <c r="R31" s="3">
        <v>45139000</v>
      </c>
      <c r="S31" s="3">
        <v>12420000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-4384435</v>
      </c>
      <c r="C33" s="30">
        <v>-7327221</v>
      </c>
      <c r="D33" s="30">
        <v>14737742</v>
      </c>
      <c r="E33" s="30">
        <v>19791000</v>
      </c>
      <c r="F33" s="30">
        <v>19918000</v>
      </c>
      <c r="G33" s="30">
        <v>19933000</v>
      </c>
      <c r="H33" s="30">
        <v>17297000</v>
      </c>
      <c r="I33" s="30">
        <v>5207000</v>
      </c>
      <c r="J33" s="30">
        <v>29205000</v>
      </c>
      <c r="K33" s="30">
        <v>882000</v>
      </c>
      <c r="L33" s="30">
        <v>-1724000</v>
      </c>
      <c r="M33" s="30">
        <v>-60018000</v>
      </c>
      <c r="N33" s="30">
        <v>147139000</v>
      </c>
      <c r="O33" s="31">
        <v>98865000</v>
      </c>
      <c r="P33" s="30">
        <v>12131000</v>
      </c>
      <c r="Q33" s="30">
        <v>29175000</v>
      </c>
      <c r="R33" s="30">
        <v>45139000</v>
      </c>
      <c r="S33" s="30">
        <v>12420000</v>
      </c>
    </row>
    <row r="34" spans="1:30" ht="16" x14ac:dyDescent="0.2">
      <c r="A34" s="25" t="s">
        <v>60</v>
      </c>
      <c r="B34" s="39">
        <v>-5.04</v>
      </c>
      <c r="C34" s="39">
        <v>-8.14</v>
      </c>
      <c r="D34" s="39">
        <v>12.84</v>
      </c>
      <c r="E34" s="39">
        <v>14.36</v>
      </c>
      <c r="F34" s="39">
        <v>12.11</v>
      </c>
      <c r="G34" s="39">
        <v>10.07</v>
      </c>
      <c r="H34" s="39">
        <v>6.45</v>
      </c>
      <c r="I34" s="39">
        <v>1.51</v>
      </c>
      <c r="J34" s="39">
        <v>6.95</v>
      </c>
      <c r="K34" s="39">
        <v>0.17</v>
      </c>
      <c r="L34" s="39">
        <v>-0.25</v>
      </c>
      <c r="M34" s="39">
        <v>-6.95</v>
      </c>
      <c r="N34" s="39">
        <v>12.37</v>
      </c>
      <c r="O34" s="40">
        <v>7.24</v>
      </c>
      <c r="P34" s="39">
        <v>3.89</v>
      </c>
      <c r="Q34" s="39">
        <v>8.68</v>
      </c>
      <c r="R34" s="39">
        <v>13.16</v>
      </c>
      <c r="S34" s="39">
        <v>3.32</v>
      </c>
    </row>
    <row r="35" spans="1:30" ht="19" x14ac:dyDescent="0.25">
      <c r="A35" s="16" t="s">
        <v>195</v>
      </c>
      <c r="B35" s="17"/>
      <c r="C35" s="18">
        <f>(C33/B33)-1</f>
        <v>0.67118933226287991</v>
      </c>
      <c r="D35" s="18">
        <f>(D33/C33)-1</f>
        <v>-3.0113685666093599</v>
      </c>
      <c r="E35" s="18">
        <f>(E33/D33)-1</f>
        <v>0.34287871235634326</v>
      </c>
      <c r="F35" s="18">
        <f t="shared" ref="F35:N35" si="4">(F33/E33)-1</f>
        <v>6.4170582588045644E-3</v>
      </c>
      <c r="G35" s="18">
        <f t="shared" si="4"/>
        <v>7.5308765940351741E-4</v>
      </c>
      <c r="H35" s="18">
        <f t="shared" si="4"/>
        <v>-0.13224301409722572</v>
      </c>
      <c r="I35" s="18">
        <f t="shared" si="4"/>
        <v>-0.69896513846331731</v>
      </c>
      <c r="J35" s="18">
        <f t="shared" si="4"/>
        <v>4.6087958517380452</v>
      </c>
      <c r="K35" s="18">
        <f t="shared" si="4"/>
        <v>-0.96979969183359016</v>
      </c>
      <c r="L35" s="18">
        <f t="shared" si="4"/>
        <v>-2.9546485260770976</v>
      </c>
      <c r="M35" s="18">
        <f t="shared" si="4"/>
        <v>33.81322505800464</v>
      </c>
      <c r="N35" s="18">
        <f t="shared" si="4"/>
        <v>-3.4515811923089741</v>
      </c>
      <c r="O35" s="18">
        <f>(O33/N33)-1</f>
        <v>-0.32808432842414315</v>
      </c>
      <c r="P35" s="18"/>
      <c r="Q35" s="18">
        <f>(Q33/P33)-1</f>
        <v>1.4049954661610751</v>
      </c>
      <c r="R35" s="18">
        <f>(R33/Q33)-1</f>
        <v>0.54718080548414738</v>
      </c>
      <c r="S35" s="18">
        <f>(S33/R33)-1</f>
        <v>-0.72484990806176475</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f t="shared" si="5"/>
        <v>0.17577636047819209</v>
      </c>
      <c r="E36" s="20">
        <f t="shared" si="5"/>
        <v>0.20045319417802304</v>
      </c>
      <c r="F36" s="20">
        <f t="shared" si="5"/>
        <v>0.18872945584603593</v>
      </c>
      <c r="G36" s="20">
        <f t="shared" si="5"/>
        <v>0.16861304812562034</v>
      </c>
      <c r="H36" s="20">
        <f t="shared" si="5"/>
        <v>0.15831775886750438</v>
      </c>
      <c r="I36" s="20">
        <f t="shared" si="5"/>
        <v>5.8331442153794703E-2</v>
      </c>
      <c r="J36" s="20">
        <f t="shared" si="5"/>
        <v>3.9866880365656374E-2</v>
      </c>
      <c r="K36" s="20">
        <f t="shared" si="5"/>
        <v>-8.8234482377942767E-3</v>
      </c>
      <c r="L36" s="20">
        <f t="shared" si="5"/>
        <v>-1.0870622941751899E-2</v>
      </c>
      <c r="M36" s="20">
        <f t="shared" si="5"/>
        <v>-0.11803196513303048</v>
      </c>
      <c r="N36" s="20">
        <f t="shared" si="5"/>
        <v>3.5330225636378242E-2</v>
      </c>
      <c r="O36" s="20">
        <f t="shared" si="5"/>
        <v>3.8819277578169997E-2</v>
      </c>
      <c r="P36" s="20">
        <f t="shared" si="5"/>
        <v>1.9300887126249576E-2</v>
      </c>
      <c r="Q36" s="20">
        <f t="shared" si="5"/>
        <v>8.5399785108211199E-3</v>
      </c>
      <c r="R36" s="20">
        <f t="shared" si="5"/>
        <v>5.8955945860493649E-3</v>
      </c>
      <c r="S36" s="20">
        <f t="shared" si="5"/>
        <v>1.4014485011160347E-2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-4384435</v>
      </c>
      <c r="C39" s="3">
        <v>-7327221</v>
      </c>
      <c r="D39" s="3">
        <v>14737742</v>
      </c>
      <c r="E39" s="3">
        <v>19791000</v>
      </c>
      <c r="F39" s="3">
        <v>19918000</v>
      </c>
      <c r="G39" s="3">
        <v>19933000</v>
      </c>
      <c r="H39" s="3">
        <v>17297000</v>
      </c>
      <c r="I39" s="3">
        <v>5207000</v>
      </c>
      <c r="J39" s="3">
        <v>29205000</v>
      </c>
      <c r="K39" s="3">
        <v>882000</v>
      </c>
      <c r="L39" s="3">
        <v>-1724000</v>
      </c>
      <c r="M39" s="3">
        <v>-60018000</v>
      </c>
      <c r="N39" s="3">
        <v>147139000</v>
      </c>
      <c r="O39" s="4">
        <v>98865000</v>
      </c>
      <c r="P39" s="3">
        <v>12131000</v>
      </c>
      <c r="Q39" s="3">
        <v>29175000</v>
      </c>
      <c r="R39" s="3">
        <v>45139000</v>
      </c>
      <c r="S39" s="3">
        <v>12420000</v>
      </c>
    </row>
    <row r="40" spans="1:30" ht="16" x14ac:dyDescent="0.2">
      <c r="A40" s="2" t="s">
        <v>48</v>
      </c>
      <c r="B40" s="3">
        <v>62524000</v>
      </c>
      <c r="C40" s="3">
        <v>59436000</v>
      </c>
      <c r="D40" s="3">
        <v>53827000</v>
      </c>
      <c r="E40" s="3">
        <v>51880000</v>
      </c>
      <c r="F40" s="3">
        <v>52948000</v>
      </c>
      <c r="G40" s="3">
        <v>53548000</v>
      </c>
      <c r="H40" s="3">
        <v>52667000</v>
      </c>
      <c r="I40" s="3">
        <v>52726000</v>
      </c>
      <c r="J40" s="3">
        <v>56392000</v>
      </c>
      <c r="K40" s="3">
        <v>59190000</v>
      </c>
      <c r="L40" s="3">
        <v>61782000</v>
      </c>
      <c r="M40" s="3">
        <v>66191000</v>
      </c>
      <c r="N40" s="3">
        <v>71093000</v>
      </c>
      <c r="O40" s="4">
        <v>72309750</v>
      </c>
      <c r="P40" s="3">
        <v>71107000</v>
      </c>
      <c r="Q40" s="3">
        <v>71270000</v>
      </c>
      <c r="R40" s="3">
        <v>72638000</v>
      </c>
      <c r="S40" s="3">
        <v>74224000</v>
      </c>
    </row>
    <row r="41" spans="1:30" ht="16" x14ac:dyDescent="0.2">
      <c r="A41" s="2" t="s">
        <v>49</v>
      </c>
      <c r="B41" s="5">
        <v>-7.0000000000000007E-2</v>
      </c>
      <c r="C41" s="5">
        <v>-0.12</v>
      </c>
      <c r="D41" s="5">
        <v>0.27</v>
      </c>
      <c r="E41" s="5">
        <v>0.38</v>
      </c>
      <c r="F41" s="5">
        <v>0.38</v>
      </c>
      <c r="G41" s="5">
        <v>0.37</v>
      </c>
      <c r="H41" s="5">
        <v>0.33</v>
      </c>
      <c r="I41" s="5">
        <v>0.1</v>
      </c>
      <c r="J41" s="5">
        <v>0.52</v>
      </c>
      <c r="K41" s="5">
        <v>0.01</v>
      </c>
      <c r="L41" s="5">
        <v>-0.03</v>
      </c>
      <c r="M41" s="5">
        <v>-0.91</v>
      </c>
      <c r="N41" s="5">
        <v>2.0699999999999998</v>
      </c>
      <c r="O41" s="6">
        <v>1.37</v>
      </c>
      <c r="P41" s="5">
        <v>0.17</v>
      </c>
      <c r="Q41" s="5">
        <v>0.41</v>
      </c>
      <c r="R41" s="5">
        <v>0.62</v>
      </c>
      <c r="S41" s="5">
        <v>0.17</v>
      </c>
    </row>
    <row r="42" spans="1:30" ht="16" x14ac:dyDescent="0.2">
      <c r="A42" s="2" t="s">
        <v>50</v>
      </c>
      <c r="B42" s="5">
        <v>-7.0000000000000007E-2</v>
      </c>
      <c r="C42" s="5">
        <v>-0.12</v>
      </c>
      <c r="D42" s="5">
        <v>0.27</v>
      </c>
      <c r="E42" s="5">
        <v>0.38</v>
      </c>
      <c r="F42" s="5">
        <v>0.38</v>
      </c>
      <c r="G42" s="5">
        <v>0.37</v>
      </c>
      <c r="H42" s="5">
        <v>0.33</v>
      </c>
      <c r="I42" s="5">
        <v>0.1</v>
      </c>
      <c r="J42" s="5">
        <v>0.52</v>
      </c>
      <c r="K42" s="5">
        <v>0.01</v>
      </c>
      <c r="L42" s="5">
        <v>-0.03</v>
      </c>
      <c r="M42" s="5">
        <v>-0.91</v>
      </c>
      <c r="N42" s="5">
        <v>2.0699999999999998</v>
      </c>
      <c r="O42" s="6">
        <v>1.37</v>
      </c>
      <c r="P42" s="5">
        <v>0.17</v>
      </c>
      <c r="Q42" s="5">
        <v>0.41</v>
      </c>
      <c r="R42" s="5">
        <v>0.62</v>
      </c>
      <c r="S42" s="5">
        <v>0.17</v>
      </c>
    </row>
    <row r="43" spans="1:30" ht="16" x14ac:dyDescent="0.2">
      <c r="A43" s="2" t="s">
        <v>51</v>
      </c>
      <c r="B43" s="3">
        <v>62524000</v>
      </c>
      <c r="C43" s="3">
        <v>59436000</v>
      </c>
      <c r="D43" s="3">
        <v>54723000</v>
      </c>
      <c r="E43" s="3">
        <v>54152000</v>
      </c>
      <c r="F43" s="3">
        <v>54500000</v>
      </c>
      <c r="G43" s="3">
        <v>54638000</v>
      </c>
      <c r="H43" s="3">
        <v>53536000</v>
      </c>
      <c r="I43" s="3">
        <v>53898000</v>
      </c>
      <c r="J43" s="3">
        <v>57922000</v>
      </c>
      <c r="K43" s="3">
        <v>60018000</v>
      </c>
      <c r="L43" s="3">
        <v>61782000</v>
      </c>
      <c r="M43" s="3">
        <v>66191000</v>
      </c>
      <c r="N43" s="3">
        <v>72534000</v>
      </c>
      <c r="O43" s="4">
        <v>73790250</v>
      </c>
      <c r="P43" s="3">
        <v>72525000</v>
      </c>
      <c r="Q43" s="3">
        <v>72976000</v>
      </c>
      <c r="R43" s="3">
        <v>73880000</v>
      </c>
      <c r="S43" s="3">
        <v>75780000</v>
      </c>
    </row>
    <row r="44" spans="1:30" ht="16" x14ac:dyDescent="0.2">
      <c r="A44" s="2" t="s">
        <v>52</v>
      </c>
      <c r="B44" s="5">
        <v>-7.0000000000000007E-2</v>
      </c>
      <c r="C44" s="5">
        <v>-0.12</v>
      </c>
      <c r="D44" s="5">
        <v>0.27</v>
      </c>
      <c r="E44" s="5">
        <v>0.37</v>
      </c>
      <c r="F44" s="5">
        <v>0.37</v>
      </c>
      <c r="G44" s="5">
        <v>0.36</v>
      </c>
      <c r="H44" s="5">
        <v>0.32</v>
      </c>
      <c r="I44" s="5">
        <v>0.1</v>
      </c>
      <c r="J44" s="5">
        <v>0.5</v>
      </c>
      <c r="K44" s="5">
        <v>0.01</v>
      </c>
      <c r="L44" s="5">
        <v>-0.03</v>
      </c>
      <c r="M44" s="5">
        <v>-0.91</v>
      </c>
      <c r="N44" s="5">
        <v>2.0299999999999998</v>
      </c>
      <c r="O44" s="6">
        <v>1.34</v>
      </c>
      <c r="P44" s="5">
        <v>0.17</v>
      </c>
      <c r="Q44" s="5">
        <v>0.4</v>
      </c>
      <c r="R44" s="5">
        <v>0.61</v>
      </c>
      <c r="S44" s="5">
        <v>0.16</v>
      </c>
    </row>
    <row r="45" spans="1:30" ht="16" x14ac:dyDescent="0.2">
      <c r="A45" s="2" t="s">
        <v>53</v>
      </c>
      <c r="B45" s="5">
        <v>-7.0000000000000007E-2</v>
      </c>
      <c r="C45" s="5">
        <v>-0.12</v>
      </c>
      <c r="D45" s="5">
        <v>0.27</v>
      </c>
      <c r="E45" s="5">
        <v>0.37</v>
      </c>
      <c r="F45" s="5">
        <v>0.37</v>
      </c>
      <c r="G45" s="5">
        <v>0.36</v>
      </c>
      <c r="H45" s="5">
        <v>0.32</v>
      </c>
      <c r="I45" s="5">
        <v>0.1</v>
      </c>
      <c r="J45" s="5">
        <v>0.5</v>
      </c>
      <c r="K45" s="5">
        <v>0.01</v>
      </c>
      <c r="L45" s="5">
        <v>-0.03</v>
      </c>
      <c r="M45" s="5">
        <v>-0.91</v>
      </c>
      <c r="N45" s="5">
        <v>2.0299999999999998</v>
      </c>
      <c r="O45" s="6">
        <v>1.34</v>
      </c>
      <c r="P45" s="5">
        <v>0.17</v>
      </c>
      <c r="Q45" s="5">
        <v>0.4</v>
      </c>
      <c r="R45" s="5">
        <v>0.61</v>
      </c>
      <c r="S45" s="5">
        <v>0.16</v>
      </c>
    </row>
    <row r="46" spans="1:30" ht="16" x14ac:dyDescent="0.2">
      <c r="A46" s="2" t="s">
        <v>54</v>
      </c>
      <c r="B46" s="3">
        <v>2147276</v>
      </c>
      <c r="C46" s="3">
        <v>4634529</v>
      </c>
      <c r="D46" s="3">
        <v>27008276</v>
      </c>
      <c r="E46" s="3">
        <v>34530000</v>
      </c>
      <c r="F46" s="3">
        <v>36822000</v>
      </c>
      <c r="G46" s="3">
        <v>38626000</v>
      </c>
      <c r="H46" s="3">
        <v>35509000</v>
      </c>
      <c r="I46" s="3">
        <v>21064000</v>
      </c>
      <c r="J46" s="3">
        <v>35456000</v>
      </c>
      <c r="K46" s="3">
        <v>4967000</v>
      </c>
      <c r="L46" s="3">
        <v>-1675000</v>
      </c>
      <c r="M46" s="3">
        <v>-149429000</v>
      </c>
      <c r="N46" s="3">
        <v>117634000</v>
      </c>
      <c r="O46" s="4">
        <v>138100000</v>
      </c>
      <c r="P46" s="3">
        <v>38313000</v>
      </c>
      <c r="Q46" s="3">
        <v>28751000</v>
      </c>
      <c r="R46" s="3">
        <v>23297000</v>
      </c>
      <c r="S46" s="3">
        <v>47739000</v>
      </c>
    </row>
    <row r="47" spans="1:30" ht="16" x14ac:dyDescent="0.2">
      <c r="A47" s="2" t="s">
        <v>55</v>
      </c>
      <c r="B47" s="5">
        <v>2.4700000000000002</v>
      </c>
      <c r="C47" s="5">
        <v>5.15</v>
      </c>
      <c r="D47" s="5">
        <v>23.54</v>
      </c>
      <c r="E47" s="5">
        <v>25.05</v>
      </c>
      <c r="F47" s="5">
        <v>22.38</v>
      </c>
      <c r="G47" s="5">
        <v>19.52</v>
      </c>
      <c r="H47" s="5">
        <v>13.24</v>
      </c>
      <c r="I47" s="5">
        <v>6.13</v>
      </c>
      <c r="J47" s="5">
        <v>8.44</v>
      </c>
      <c r="K47" s="5">
        <v>0.94</v>
      </c>
      <c r="L47" s="5">
        <v>-0.25</v>
      </c>
      <c r="M47" s="5">
        <v>-17.309999999999999</v>
      </c>
      <c r="N47" s="5">
        <v>9.89</v>
      </c>
      <c r="O47" s="6">
        <v>10.11</v>
      </c>
      <c r="P47" s="5">
        <v>6.26</v>
      </c>
      <c r="Q47" s="5">
        <v>9.89</v>
      </c>
      <c r="R47" s="5">
        <v>9.24</v>
      </c>
      <c r="S47" s="5">
        <v>10.11</v>
      </c>
    </row>
    <row r="48" spans="1:30" ht="16" x14ac:dyDescent="0.2">
      <c r="A48" s="2" t="s">
        <v>56</v>
      </c>
      <c r="B48" s="3">
        <v>-5139639</v>
      </c>
      <c r="C48" s="3">
        <v>-3460437</v>
      </c>
      <c r="D48" s="3">
        <v>20489026</v>
      </c>
      <c r="E48" s="3">
        <v>29399000</v>
      </c>
      <c r="F48" s="3">
        <v>32505000</v>
      </c>
      <c r="G48" s="3">
        <v>35335000</v>
      </c>
      <c r="H48" s="3">
        <v>31851000</v>
      </c>
      <c r="I48" s="3">
        <v>13023000</v>
      </c>
      <c r="J48" s="3">
        <v>24841000</v>
      </c>
      <c r="K48" s="3">
        <v>-6394000</v>
      </c>
      <c r="L48" s="3">
        <v>-14150000</v>
      </c>
      <c r="M48" s="3">
        <v>-168123000</v>
      </c>
      <c r="N48" s="3">
        <v>93253000</v>
      </c>
      <c r="O48" s="4">
        <v>111515000</v>
      </c>
      <c r="P48" s="3">
        <v>32107000</v>
      </c>
      <c r="Q48" s="3">
        <v>22541000</v>
      </c>
      <c r="R48" s="3">
        <v>16608000</v>
      </c>
      <c r="S48" s="3">
        <v>40259000</v>
      </c>
    </row>
    <row r="49" spans="1:19" ht="16" x14ac:dyDescent="0.2">
      <c r="A49" s="2" t="s">
        <v>57</v>
      </c>
      <c r="B49" s="3">
        <v>-5139639</v>
      </c>
      <c r="C49" s="3">
        <v>-3460437</v>
      </c>
      <c r="D49" s="3">
        <v>20489026</v>
      </c>
      <c r="E49" s="3">
        <v>29399000</v>
      </c>
      <c r="F49" s="3">
        <v>32505000</v>
      </c>
      <c r="G49" s="3">
        <v>35335000</v>
      </c>
      <c r="H49" s="3">
        <v>31851000</v>
      </c>
      <c r="I49" s="3">
        <v>13023000</v>
      </c>
      <c r="J49" s="3">
        <v>24841000</v>
      </c>
      <c r="K49" s="3">
        <v>-6394000</v>
      </c>
      <c r="L49" s="3">
        <v>-14150000</v>
      </c>
      <c r="M49" s="3">
        <v>-168123000</v>
      </c>
      <c r="N49" s="3">
        <v>93253000</v>
      </c>
      <c r="O49" s="4">
        <v>111515000</v>
      </c>
      <c r="P49" s="3">
        <v>32107000</v>
      </c>
      <c r="Q49" s="3">
        <v>22541000</v>
      </c>
      <c r="R49" s="3">
        <v>16608000</v>
      </c>
      <c r="S49" s="3">
        <v>40259000</v>
      </c>
    </row>
    <row r="50" spans="1:19" ht="16" x14ac:dyDescent="0.2">
      <c r="A50" s="2" t="s">
        <v>61</v>
      </c>
      <c r="B50" s="3">
        <v>238164</v>
      </c>
      <c r="C50" s="3">
        <v>228497</v>
      </c>
      <c r="D50" s="3">
        <v>265018</v>
      </c>
      <c r="E50" s="3">
        <v>284188</v>
      </c>
      <c r="F50" s="3">
        <v>290168</v>
      </c>
      <c r="G50" s="3">
        <v>295361</v>
      </c>
      <c r="H50" s="3">
        <v>297719</v>
      </c>
      <c r="I50" s="3">
        <v>313971</v>
      </c>
      <c r="J50" s="3">
        <v>303079</v>
      </c>
      <c r="K50" s="3">
        <v>277067</v>
      </c>
      <c r="L50" s="3">
        <v>267270</v>
      </c>
      <c r="M50" s="3">
        <v>288563</v>
      </c>
      <c r="N50" s="3">
        <v>318676</v>
      </c>
      <c r="O50" s="4">
        <v>365705</v>
      </c>
      <c r="P50" s="3">
        <v>104196</v>
      </c>
      <c r="Q50" s="3">
        <v>90022</v>
      </c>
      <c r="R50" s="3">
        <v>91870</v>
      </c>
      <c r="S50" s="3">
        <v>100323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7286915</v>
      </c>
      <c r="C52" s="3">
        <v>8094966</v>
      </c>
      <c r="D52" s="3">
        <v>6519250</v>
      </c>
      <c r="E52" s="3">
        <v>5131000</v>
      </c>
      <c r="F52" s="3">
        <v>4317000</v>
      </c>
      <c r="G52" s="3">
        <v>3291000</v>
      </c>
      <c r="H52" s="3">
        <v>3658000</v>
      </c>
      <c r="I52" s="3">
        <v>8041000</v>
      </c>
      <c r="J52" s="3">
        <v>10615000</v>
      </c>
      <c r="K52" s="3">
        <v>11361000</v>
      </c>
      <c r="L52" s="3">
        <v>12475000</v>
      </c>
      <c r="M52" s="3">
        <v>18694000</v>
      </c>
      <c r="N52" s="3">
        <v>24381000</v>
      </c>
      <c r="O52" s="4">
        <v>26585000</v>
      </c>
      <c r="P52" s="3">
        <v>6206000</v>
      </c>
      <c r="Q52" s="3">
        <v>6210000</v>
      </c>
      <c r="R52" s="3">
        <v>6689000</v>
      </c>
      <c r="S52" s="3">
        <v>7480000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82326195</v>
      </c>
      <c r="C55" s="3">
        <v>60556003</v>
      </c>
      <c r="D55" s="3">
        <v>79052516</v>
      </c>
      <c r="E55" s="3">
        <v>96464000</v>
      </c>
      <c r="F55" s="3">
        <v>140027000</v>
      </c>
      <c r="G55" s="3">
        <v>161409000</v>
      </c>
      <c r="H55" s="3">
        <v>177231000</v>
      </c>
      <c r="I55" s="3">
        <v>205192000</v>
      </c>
      <c r="J55" s="3">
        <v>558155000</v>
      </c>
      <c r="K55" s="3">
        <v>619091000</v>
      </c>
      <c r="L55" s="3">
        <v>981952000</v>
      </c>
      <c r="M55" s="3">
        <v>1109490000</v>
      </c>
      <c r="N55" s="3">
        <v>1805278000</v>
      </c>
      <c r="O55" s="4">
        <v>2112650000</v>
      </c>
      <c r="P55" s="3">
        <v>1205699000</v>
      </c>
      <c r="Q55" s="3">
        <v>1805278000</v>
      </c>
      <c r="R55" s="3">
        <v>2052696000</v>
      </c>
      <c r="S55" s="3">
        <v>2112650000</v>
      </c>
    </row>
    <row r="56" spans="1:19" ht="16" x14ac:dyDescent="0.2">
      <c r="A56" s="2" t="s">
        <v>65</v>
      </c>
      <c r="B56" s="3">
        <v>42684241</v>
      </c>
      <c r="C56" s="3">
        <v>26408922</v>
      </c>
      <c r="D56" s="3">
        <v>37807749</v>
      </c>
      <c r="E56" s="3">
        <v>51372000</v>
      </c>
      <c r="F56" s="3">
        <v>81141000</v>
      </c>
      <c r="G56" s="3">
        <v>109780000</v>
      </c>
      <c r="H56" s="3">
        <v>89066000</v>
      </c>
      <c r="I56" s="3">
        <v>81967000</v>
      </c>
      <c r="J56" s="3">
        <v>349462000</v>
      </c>
      <c r="K56" s="3">
        <v>350784000</v>
      </c>
      <c r="L56" s="3">
        <v>561965000</v>
      </c>
      <c r="M56" s="3">
        <v>443022000</v>
      </c>
      <c r="N56" s="3">
        <v>974693000</v>
      </c>
      <c r="O56" s="4">
        <v>1133945000</v>
      </c>
      <c r="P56" s="3">
        <v>377618000</v>
      </c>
      <c r="Q56" s="3">
        <v>974693000</v>
      </c>
      <c r="R56" s="3">
        <v>1093353000</v>
      </c>
      <c r="S56" s="3">
        <v>1133945000</v>
      </c>
    </row>
    <row r="57" spans="1:19" ht="16" x14ac:dyDescent="0.2">
      <c r="A57" s="2" t="s">
        <v>66</v>
      </c>
      <c r="B57" s="3">
        <v>42684241</v>
      </c>
      <c r="C57" s="3">
        <v>21300733</v>
      </c>
      <c r="D57" s="3">
        <v>36126791</v>
      </c>
      <c r="E57" s="3">
        <v>42271000</v>
      </c>
      <c r="F57" s="3">
        <v>48367000</v>
      </c>
      <c r="G57" s="3">
        <v>59526000</v>
      </c>
      <c r="H57" s="3">
        <v>40651000</v>
      </c>
      <c r="I57" s="3">
        <v>75105000</v>
      </c>
      <c r="J57" s="3">
        <v>349462000</v>
      </c>
      <c r="K57" s="3">
        <v>172250000</v>
      </c>
      <c r="L57" s="3">
        <v>155440000</v>
      </c>
      <c r="M57" s="3">
        <v>356332000</v>
      </c>
      <c r="N57" s="3">
        <v>353684000</v>
      </c>
      <c r="O57" s="4">
        <v>474203000</v>
      </c>
      <c r="P57" s="3">
        <v>147711000</v>
      </c>
      <c r="Q57" s="3">
        <v>353684000</v>
      </c>
      <c r="R57" s="3">
        <v>263414000</v>
      </c>
      <c r="S57" s="3">
        <v>474203000</v>
      </c>
    </row>
    <row r="58" spans="1:19" ht="16" x14ac:dyDescent="0.2">
      <c r="A58" s="2" t="s">
        <v>67</v>
      </c>
      <c r="B58" s="3" t="s">
        <v>24</v>
      </c>
      <c r="C58" s="3">
        <v>5108189</v>
      </c>
      <c r="D58" s="3">
        <v>1680958</v>
      </c>
      <c r="E58" s="3">
        <v>9101000</v>
      </c>
      <c r="F58" s="3">
        <v>32774000</v>
      </c>
      <c r="G58" s="3">
        <v>50254000</v>
      </c>
      <c r="H58" s="3">
        <v>48415000</v>
      </c>
      <c r="I58" s="3">
        <v>6862000</v>
      </c>
      <c r="J58" s="3" t="s">
        <v>24</v>
      </c>
      <c r="K58" s="3">
        <v>178534000</v>
      </c>
      <c r="L58" s="3">
        <v>406525000</v>
      </c>
      <c r="M58" s="3">
        <v>86690000</v>
      </c>
      <c r="N58" s="3">
        <v>621009000</v>
      </c>
      <c r="O58" s="4">
        <v>659742000</v>
      </c>
      <c r="P58" s="3">
        <v>229907000</v>
      </c>
      <c r="Q58" s="3">
        <v>621009000</v>
      </c>
      <c r="R58" s="3">
        <v>829939000</v>
      </c>
      <c r="S58" s="3">
        <v>659742000</v>
      </c>
    </row>
    <row r="59" spans="1:19" ht="16" x14ac:dyDescent="0.2">
      <c r="A59" s="2" t="s">
        <v>68</v>
      </c>
      <c r="B59" s="3">
        <v>13542535</v>
      </c>
      <c r="C59" s="3">
        <v>11780135</v>
      </c>
      <c r="D59" s="3">
        <v>18101240</v>
      </c>
      <c r="E59" s="3">
        <v>22488000</v>
      </c>
      <c r="F59" s="3">
        <v>30735000</v>
      </c>
      <c r="G59" s="3">
        <v>27701000</v>
      </c>
      <c r="H59" s="3">
        <v>39466000</v>
      </c>
      <c r="I59" s="3">
        <v>56064000</v>
      </c>
      <c r="J59" s="3">
        <v>144539000</v>
      </c>
      <c r="K59" s="3">
        <v>194596000</v>
      </c>
      <c r="L59" s="3">
        <v>293146000</v>
      </c>
      <c r="M59" s="3">
        <v>501240000</v>
      </c>
      <c r="N59" s="3">
        <v>555092000</v>
      </c>
      <c r="O59" s="4">
        <v>627366000</v>
      </c>
      <c r="P59" s="3">
        <v>586981000</v>
      </c>
      <c r="Q59" s="3">
        <v>555092000</v>
      </c>
      <c r="R59" s="3">
        <v>596756000</v>
      </c>
      <c r="S59" s="3">
        <v>627366000</v>
      </c>
    </row>
    <row r="60" spans="1:19" ht="16" x14ac:dyDescent="0.2">
      <c r="A60" s="2" t="s">
        <v>69</v>
      </c>
      <c r="B60" s="3">
        <v>13542535</v>
      </c>
      <c r="C60" s="3">
        <v>11780135</v>
      </c>
      <c r="D60" s="3">
        <v>18101240</v>
      </c>
      <c r="E60" s="3">
        <v>22488000</v>
      </c>
      <c r="F60" s="3">
        <v>30735000</v>
      </c>
      <c r="G60" s="3">
        <v>27701000</v>
      </c>
      <c r="H60" s="3">
        <v>39466000</v>
      </c>
      <c r="I60" s="3">
        <v>56064000</v>
      </c>
      <c r="J60" s="3">
        <v>130579000</v>
      </c>
      <c r="K60" s="3">
        <v>146878000</v>
      </c>
      <c r="L60" s="3">
        <v>229201000</v>
      </c>
      <c r="M60" s="3">
        <v>320819000</v>
      </c>
      <c r="N60" s="3">
        <v>358190000</v>
      </c>
      <c r="O60" s="4">
        <v>372060000</v>
      </c>
      <c r="P60" s="3">
        <v>418308000</v>
      </c>
      <c r="Q60" s="3">
        <v>358190000</v>
      </c>
      <c r="R60" s="3">
        <v>379887000</v>
      </c>
      <c r="S60" s="3">
        <v>372060000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13960000</v>
      </c>
      <c r="K63" s="3">
        <v>47718000</v>
      </c>
      <c r="L63" s="3">
        <v>63945000</v>
      </c>
      <c r="M63" s="3">
        <v>180421000</v>
      </c>
      <c r="N63" s="3">
        <v>196902000</v>
      </c>
      <c r="O63" s="4">
        <v>255306000</v>
      </c>
      <c r="P63" s="3">
        <v>168673000</v>
      </c>
      <c r="Q63" s="3">
        <v>196902000</v>
      </c>
      <c r="R63" s="3">
        <v>216869000</v>
      </c>
      <c r="S63" s="3">
        <v>255306000</v>
      </c>
    </row>
    <row r="64" spans="1:19" ht="16" x14ac:dyDescent="0.2">
      <c r="A64" s="2" t="s">
        <v>73</v>
      </c>
      <c r="B64" s="3">
        <v>17815405</v>
      </c>
      <c r="C64" s="3">
        <v>11484761</v>
      </c>
      <c r="D64" s="3">
        <v>10993209</v>
      </c>
      <c r="E64" s="3">
        <v>11109000</v>
      </c>
      <c r="F64" s="3">
        <v>18323000</v>
      </c>
      <c r="G64" s="3">
        <v>15763000</v>
      </c>
      <c r="H64" s="3">
        <v>34841000</v>
      </c>
      <c r="I64" s="3">
        <v>45465000</v>
      </c>
      <c r="J64" s="3">
        <v>33763000</v>
      </c>
      <c r="K64" s="3">
        <v>38845000</v>
      </c>
      <c r="L64" s="3">
        <v>89958000</v>
      </c>
      <c r="M64" s="3">
        <v>108688000</v>
      </c>
      <c r="N64" s="3">
        <v>202471000</v>
      </c>
      <c r="O64" s="4">
        <v>249767000</v>
      </c>
      <c r="P64" s="3">
        <v>173046000</v>
      </c>
      <c r="Q64" s="3">
        <v>202471000</v>
      </c>
      <c r="R64" s="3">
        <v>220268000</v>
      </c>
      <c r="S64" s="3">
        <v>249767000</v>
      </c>
    </row>
    <row r="65" spans="1:19" ht="16" x14ac:dyDescent="0.2">
      <c r="A65" s="2" t="s">
        <v>74</v>
      </c>
      <c r="B65" s="3">
        <v>11817579</v>
      </c>
      <c r="C65" s="3">
        <v>11304265</v>
      </c>
      <c r="D65" s="3">
        <v>9689172</v>
      </c>
      <c r="E65" s="3">
        <v>7376000</v>
      </c>
      <c r="F65" s="3">
        <v>12229000</v>
      </c>
      <c r="G65" s="3">
        <v>8748000</v>
      </c>
      <c r="H65" s="3">
        <v>18002000</v>
      </c>
      <c r="I65" s="3">
        <v>20119000</v>
      </c>
      <c r="J65" s="3">
        <v>19670000</v>
      </c>
      <c r="K65" s="3">
        <v>20789000</v>
      </c>
      <c r="L65" s="3">
        <v>39194000</v>
      </c>
      <c r="M65" s="3">
        <v>38267000</v>
      </c>
      <c r="N65" s="3">
        <v>72740000</v>
      </c>
      <c r="O65" s="4">
        <v>96467000</v>
      </c>
      <c r="P65" s="3">
        <v>61921000</v>
      </c>
      <c r="Q65" s="3">
        <v>72740000</v>
      </c>
      <c r="R65" s="3">
        <v>86607000</v>
      </c>
      <c r="S65" s="3">
        <v>96467000</v>
      </c>
    </row>
    <row r="66" spans="1:19" ht="16" x14ac:dyDescent="0.2">
      <c r="A66" s="2" t="s">
        <v>75</v>
      </c>
      <c r="B66" s="3" t="s">
        <v>24</v>
      </c>
      <c r="C66" s="3">
        <v>304783</v>
      </c>
      <c r="D66" s="3">
        <v>131492</v>
      </c>
      <c r="E66" s="3">
        <v>44000</v>
      </c>
      <c r="F66" s="3">
        <v>111000</v>
      </c>
      <c r="G66" s="3">
        <v>105000</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6348490</v>
      </c>
      <c r="C67" s="3">
        <v>4306585</v>
      </c>
      <c r="D67" s="3">
        <v>3492167</v>
      </c>
      <c r="E67" s="3">
        <v>4688000</v>
      </c>
      <c r="F67" s="3">
        <v>7337000</v>
      </c>
      <c r="G67" s="3">
        <v>6910000</v>
      </c>
      <c r="H67" s="3">
        <v>16839000</v>
      </c>
      <c r="I67" s="3">
        <v>25346000</v>
      </c>
      <c r="J67" s="3">
        <v>14093000</v>
      </c>
      <c r="K67" s="3">
        <v>18056000</v>
      </c>
      <c r="L67" s="3">
        <v>50764000</v>
      </c>
      <c r="M67" s="3">
        <v>70421000</v>
      </c>
      <c r="N67" s="3">
        <v>129731000</v>
      </c>
      <c r="O67" s="4">
        <v>153300000</v>
      </c>
      <c r="P67" s="3">
        <v>111125000</v>
      </c>
      <c r="Q67" s="3">
        <v>129731000</v>
      </c>
      <c r="R67" s="3">
        <v>133661000</v>
      </c>
      <c r="S67" s="3">
        <v>153300000</v>
      </c>
    </row>
    <row r="68" spans="1:19" ht="16" x14ac:dyDescent="0.2">
      <c r="A68" s="2" t="s">
        <v>77</v>
      </c>
      <c r="B68" s="3">
        <v>-350664</v>
      </c>
      <c r="C68" s="3">
        <v>-4430872</v>
      </c>
      <c r="D68" s="3">
        <v>-2319622</v>
      </c>
      <c r="E68" s="3">
        <v>-999000</v>
      </c>
      <c r="F68" s="3">
        <v>-1354000</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8284014</v>
      </c>
      <c r="C70" s="3">
        <v>10882185</v>
      </c>
      <c r="D70" s="3">
        <v>12150318</v>
      </c>
      <c r="E70" s="3">
        <v>11495000</v>
      </c>
      <c r="F70" s="3">
        <v>9828000</v>
      </c>
      <c r="G70" s="3">
        <v>8165000</v>
      </c>
      <c r="H70" s="3">
        <v>13858000</v>
      </c>
      <c r="I70" s="3">
        <v>21696000</v>
      </c>
      <c r="J70" s="3">
        <v>30391000</v>
      </c>
      <c r="K70" s="3">
        <v>34866000</v>
      </c>
      <c r="L70" s="3">
        <v>36883000</v>
      </c>
      <c r="M70" s="3">
        <v>56540000</v>
      </c>
      <c r="N70" s="3">
        <v>73022000</v>
      </c>
      <c r="O70" s="4">
        <v>101572000</v>
      </c>
      <c r="P70" s="3">
        <v>68054000</v>
      </c>
      <c r="Q70" s="3">
        <v>73022000</v>
      </c>
      <c r="R70" s="3">
        <v>142319000</v>
      </c>
      <c r="S70" s="3">
        <v>101572000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53860740</v>
      </c>
      <c r="C76" s="3">
        <v>44588213</v>
      </c>
      <c r="D76" s="3">
        <v>37183735</v>
      </c>
      <c r="E76" s="3">
        <v>50915000</v>
      </c>
      <c r="F76" s="3">
        <v>45341000</v>
      </c>
      <c r="G76" s="3">
        <v>68472000</v>
      </c>
      <c r="H76" s="3">
        <v>100932000</v>
      </c>
      <c r="I76" s="3">
        <v>132920000</v>
      </c>
      <c r="J76" s="3">
        <v>161385000</v>
      </c>
      <c r="K76" s="3">
        <v>226548000</v>
      </c>
      <c r="L76" s="3">
        <v>399071000</v>
      </c>
      <c r="M76" s="3">
        <v>578720000</v>
      </c>
      <c r="N76" s="3">
        <v>1046616000</v>
      </c>
      <c r="O76" s="4">
        <v>964754000</v>
      </c>
      <c r="P76" s="3">
        <v>804731000</v>
      </c>
      <c r="Q76" s="3">
        <v>1046616000</v>
      </c>
      <c r="R76" s="3">
        <v>955253000</v>
      </c>
      <c r="S76" s="3">
        <v>964754000</v>
      </c>
    </row>
    <row r="77" spans="1:19" ht="16" x14ac:dyDescent="0.2">
      <c r="A77" s="2" t="s">
        <v>86</v>
      </c>
      <c r="B77" s="3">
        <v>35905765</v>
      </c>
      <c r="C77" s="3">
        <v>26845220</v>
      </c>
      <c r="D77" s="3">
        <v>-6940923</v>
      </c>
      <c r="E77" s="3">
        <v>-12335000</v>
      </c>
      <c r="F77" s="3">
        <v>-16383000</v>
      </c>
      <c r="G77" s="3">
        <v>-14172000</v>
      </c>
      <c r="H77" s="3">
        <v>-13795000</v>
      </c>
      <c r="I77" s="3">
        <v>-5305000</v>
      </c>
      <c r="J77" s="3">
        <v>-1992000</v>
      </c>
      <c r="K77" s="3">
        <v>1938000</v>
      </c>
      <c r="L77" s="3">
        <v>58309000</v>
      </c>
      <c r="M77" s="3">
        <v>79673000</v>
      </c>
      <c r="N77" s="3">
        <v>91948000</v>
      </c>
      <c r="O77" s="4">
        <v>179096000</v>
      </c>
      <c r="P77" s="3">
        <v>91416000</v>
      </c>
      <c r="Q77" s="3">
        <v>91948000</v>
      </c>
      <c r="R77" s="3">
        <v>172674000</v>
      </c>
      <c r="S77" s="3">
        <v>179096000</v>
      </c>
    </row>
    <row r="78" spans="1:19" ht="16" x14ac:dyDescent="0.2">
      <c r="A78" s="2" t="s">
        <v>87</v>
      </c>
      <c r="B78" s="3">
        <v>53862290</v>
      </c>
      <c r="C78" s="3">
        <v>51314231</v>
      </c>
      <c r="D78" s="3">
        <v>21952201</v>
      </c>
      <c r="E78" s="3">
        <v>19043000</v>
      </c>
      <c r="F78" s="3">
        <v>17523000</v>
      </c>
      <c r="G78" s="3">
        <v>21848000</v>
      </c>
      <c r="H78" s="3">
        <v>24004000</v>
      </c>
      <c r="I78" s="3">
        <v>31172000</v>
      </c>
      <c r="J78" s="3">
        <v>37893000</v>
      </c>
      <c r="K78" s="3">
        <v>43770000</v>
      </c>
      <c r="L78" s="3">
        <v>105494000</v>
      </c>
      <c r="M78" s="3">
        <v>138457000</v>
      </c>
      <c r="N78" s="3">
        <v>169843000</v>
      </c>
      <c r="O78" s="4">
        <v>179096000</v>
      </c>
      <c r="P78" s="3">
        <v>164160000</v>
      </c>
      <c r="Q78" s="3">
        <v>169843000</v>
      </c>
      <c r="R78" s="3">
        <v>172674000</v>
      </c>
      <c r="S78" s="3">
        <v>179096000</v>
      </c>
    </row>
    <row r="79" spans="1:19" ht="16" x14ac:dyDescent="0.2">
      <c r="A79" s="2" t="s">
        <v>88</v>
      </c>
      <c r="B79" s="3">
        <v>17956525</v>
      </c>
      <c r="C79" s="3">
        <v>24469011</v>
      </c>
      <c r="D79" s="3">
        <v>28893124</v>
      </c>
      <c r="E79" s="3">
        <v>31378000</v>
      </c>
      <c r="F79" s="3">
        <v>33906000</v>
      </c>
      <c r="G79" s="3">
        <v>36020000</v>
      </c>
      <c r="H79" s="3">
        <v>37799000</v>
      </c>
      <c r="I79" s="3">
        <v>36477000</v>
      </c>
      <c r="J79" s="3">
        <v>39885000</v>
      </c>
      <c r="K79" s="3">
        <v>41832000</v>
      </c>
      <c r="L79" s="3">
        <v>47185000</v>
      </c>
      <c r="M79" s="3">
        <v>58784000</v>
      </c>
      <c r="N79" s="3">
        <v>77895000</v>
      </c>
      <c r="O79" s="4" t="s">
        <v>24</v>
      </c>
      <c r="P79" s="3">
        <v>72744000</v>
      </c>
      <c r="Q79" s="3">
        <v>77895000</v>
      </c>
      <c r="R79" s="3" t="s">
        <v>24</v>
      </c>
      <c r="S79" s="3" t="s">
        <v>24</v>
      </c>
    </row>
    <row r="80" spans="1:19" ht="16" x14ac:dyDescent="0.2">
      <c r="A80" s="2" t="s">
        <v>89</v>
      </c>
      <c r="B80" s="3" t="s">
        <v>24</v>
      </c>
      <c r="C80" s="3" t="s">
        <v>24</v>
      </c>
      <c r="D80" s="3" t="s">
        <v>24</v>
      </c>
      <c r="E80" s="3">
        <v>12023000</v>
      </c>
      <c r="F80" s="3">
        <v>9296000</v>
      </c>
      <c r="G80" s="3">
        <v>8525000</v>
      </c>
      <c r="H80" s="3">
        <v>234000</v>
      </c>
      <c r="I80" s="3" t="s">
        <v>24</v>
      </c>
      <c r="J80" s="3" t="s">
        <v>24</v>
      </c>
      <c r="K80" s="3">
        <v>45499000</v>
      </c>
      <c r="L80" s="3">
        <v>90681000</v>
      </c>
      <c r="M80" s="3">
        <v>114752000</v>
      </c>
      <c r="N80" s="3">
        <v>452770000</v>
      </c>
      <c r="O80" s="4">
        <v>249118000</v>
      </c>
      <c r="P80" s="3">
        <v>318865000</v>
      </c>
      <c r="Q80" s="3">
        <v>452770000</v>
      </c>
      <c r="R80" s="3">
        <v>327679000</v>
      </c>
      <c r="S80" s="3">
        <v>249118000</v>
      </c>
    </row>
    <row r="81" spans="1:19" ht="16" x14ac:dyDescent="0.2">
      <c r="A81" s="2" t="s">
        <v>90</v>
      </c>
      <c r="B81" s="3" t="s">
        <v>24</v>
      </c>
      <c r="C81" s="3" t="s">
        <v>24</v>
      </c>
      <c r="D81" s="3" t="s">
        <v>24</v>
      </c>
      <c r="E81" s="3">
        <v>12023000</v>
      </c>
      <c r="F81" s="3">
        <v>9296000</v>
      </c>
      <c r="G81" s="3">
        <v>8525000</v>
      </c>
      <c r="H81" s="3">
        <v>234000</v>
      </c>
      <c r="I81" s="3" t="s">
        <v>24</v>
      </c>
      <c r="J81" s="3" t="s">
        <v>24</v>
      </c>
      <c r="K81" s="3">
        <v>45499000</v>
      </c>
      <c r="L81" s="3">
        <v>90681000</v>
      </c>
      <c r="M81" s="3">
        <v>114752000</v>
      </c>
      <c r="N81" s="3">
        <v>452770000</v>
      </c>
      <c r="O81" s="4">
        <v>249118000</v>
      </c>
      <c r="P81" s="3">
        <v>318865000</v>
      </c>
      <c r="Q81" s="3">
        <v>452770000</v>
      </c>
      <c r="R81" s="3">
        <v>327679000</v>
      </c>
      <c r="S81" s="3">
        <v>249118000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17954975</v>
      </c>
      <c r="C83" s="3">
        <v>17742993</v>
      </c>
      <c r="D83" s="3">
        <v>44124658</v>
      </c>
      <c r="E83" s="3">
        <v>51227000</v>
      </c>
      <c r="F83" s="3">
        <v>52428000</v>
      </c>
      <c r="G83" s="3">
        <v>74119000</v>
      </c>
      <c r="H83" s="3">
        <v>114493000</v>
      </c>
      <c r="I83" s="3">
        <v>138225000</v>
      </c>
      <c r="J83" s="3">
        <v>163377000</v>
      </c>
      <c r="K83" s="3">
        <v>179111000</v>
      </c>
      <c r="L83" s="3">
        <v>250081000</v>
      </c>
      <c r="M83" s="3">
        <v>384295000</v>
      </c>
      <c r="N83" s="3">
        <v>501898000</v>
      </c>
      <c r="O83" s="4">
        <v>536540000</v>
      </c>
      <c r="P83" s="3">
        <v>394450000</v>
      </c>
      <c r="Q83" s="3">
        <v>501898000</v>
      </c>
      <c r="R83" s="3">
        <v>454900000</v>
      </c>
      <c r="S83" s="3">
        <v>536540000</v>
      </c>
    </row>
    <row r="84" spans="1:19" ht="16" x14ac:dyDescent="0.2">
      <c r="A84" s="2" t="s">
        <v>93</v>
      </c>
      <c r="B84" s="3">
        <v>3090876</v>
      </c>
      <c r="C84" s="3">
        <v>3224006</v>
      </c>
      <c r="D84" s="3">
        <v>3317169</v>
      </c>
      <c r="E84" s="3">
        <v>5552000</v>
      </c>
      <c r="F84" s="3">
        <v>5321000</v>
      </c>
      <c r="G84" s="3">
        <v>17184000</v>
      </c>
      <c r="H84" s="3">
        <v>25660000</v>
      </c>
      <c r="I84" s="3">
        <v>33750000</v>
      </c>
      <c r="J84" s="3">
        <v>40916000</v>
      </c>
      <c r="K84" s="3">
        <v>37784000</v>
      </c>
      <c r="L84" s="3">
        <v>34653000</v>
      </c>
      <c r="M84" s="3">
        <v>59062000</v>
      </c>
      <c r="N84" s="3">
        <v>57141000</v>
      </c>
      <c r="O84" s="4">
        <v>79578000</v>
      </c>
      <c r="P84" s="3">
        <v>57858000</v>
      </c>
      <c r="Q84" s="3">
        <v>57141000</v>
      </c>
      <c r="R84" s="3">
        <v>56252000</v>
      </c>
      <c r="S84" s="3">
        <v>79578000</v>
      </c>
    </row>
    <row r="85" spans="1:19" ht="16" x14ac:dyDescent="0.2">
      <c r="A85" s="2" t="s">
        <v>94</v>
      </c>
      <c r="B85" s="3" t="s">
        <v>24</v>
      </c>
      <c r="C85" s="3" t="s">
        <v>24</v>
      </c>
      <c r="D85" s="3" t="s">
        <v>24</v>
      </c>
      <c r="E85" s="3">
        <v>2235000</v>
      </c>
      <c r="F85" s="3">
        <v>2206000</v>
      </c>
      <c r="G85" s="3">
        <v>9596000</v>
      </c>
      <c r="H85" s="3">
        <v>10442000</v>
      </c>
      <c r="I85" s="3">
        <v>14927000</v>
      </c>
      <c r="J85" s="3">
        <v>24981000</v>
      </c>
      <c r="K85" s="3">
        <v>25013000</v>
      </c>
      <c r="L85" s="3">
        <v>25205000</v>
      </c>
      <c r="M85" s="3">
        <v>43592000</v>
      </c>
      <c r="N85" s="3">
        <v>44983000</v>
      </c>
      <c r="O85" s="4">
        <v>57741000</v>
      </c>
      <c r="P85" s="3">
        <v>44819000</v>
      </c>
      <c r="Q85" s="3">
        <v>44983000</v>
      </c>
      <c r="R85" s="3">
        <v>44982000</v>
      </c>
      <c r="S85" s="3">
        <v>57741000</v>
      </c>
    </row>
    <row r="86" spans="1:19" ht="16" x14ac:dyDescent="0.2">
      <c r="A86" s="2" t="s">
        <v>95</v>
      </c>
      <c r="B86" s="3">
        <v>3090876</v>
      </c>
      <c r="C86" s="3">
        <v>3224006</v>
      </c>
      <c r="D86" s="3">
        <v>3317169</v>
      </c>
      <c r="E86" s="3">
        <v>3317000</v>
      </c>
      <c r="F86" s="3">
        <v>3115000</v>
      </c>
      <c r="G86" s="3">
        <v>7588000</v>
      </c>
      <c r="H86" s="3">
        <v>15218000</v>
      </c>
      <c r="I86" s="3">
        <v>18823000</v>
      </c>
      <c r="J86" s="3">
        <v>15935000</v>
      </c>
      <c r="K86" s="3">
        <v>12771000</v>
      </c>
      <c r="L86" s="3">
        <v>9448000</v>
      </c>
      <c r="M86" s="3">
        <v>15470000</v>
      </c>
      <c r="N86" s="3">
        <v>12158000</v>
      </c>
      <c r="O86" s="4">
        <v>21837000</v>
      </c>
      <c r="P86" s="3">
        <v>13039000</v>
      </c>
      <c r="Q86" s="3">
        <v>12158000</v>
      </c>
      <c r="R86" s="3">
        <v>11270000</v>
      </c>
      <c r="S86" s="3">
        <v>21837000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14864099</v>
      </c>
      <c r="C89" s="3">
        <v>14518987</v>
      </c>
      <c r="D89" s="3">
        <v>40807489</v>
      </c>
      <c r="E89" s="3">
        <v>45675000</v>
      </c>
      <c r="F89" s="3">
        <v>47107000</v>
      </c>
      <c r="G89" s="3">
        <v>56935000</v>
      </c>
      <c r="H89" s="3">
        <v>88833000</v>
      </c>
      <c r="I89" s="3">
        <v>104475000</v>
      </c>
      <c r="J89" s="3">
        <v>122461000</v>
      </c>
      <c r="K89" s="3">
        <v>141327000</v>
      </c>
      <c r="L89" s="3">
        <v>215428000</v>
      </c>
      <c r="M89" s="3">
        <v>325233000</v>
      </c>
      <c r="N89" s="3">
        <v>444757000</v>
      </c>
      <c r="O89" s="4">
        <v>456962000</v>
      </c>
      <c r="P89" s="3">
        <v>336592000</v>
      </c>
      <c r="Q89" s="3">
        <v>444757000</v>
      </c>
      <c r="R89" s="3">
        <v>398648000</v>
      </c>
      <c r="S89" s="3">
        <v>456962000</v>
      </c>
    </row>
    <row r="90" spans="1:19" ht="16" x14ac:dyDescent="0.2">
      <c r="A90" s="2" t="s">
        <v>99</v>
      </c>
      <c r="B90" s="3">
        <v>136186935</v>
      </c>
      <c r="C90" s="3">
        <v>105144216</v>
      </c>
      <c r="D90" s="3">
        <v>116236251</v>
      </c>
      <c r="E90" s="3">
        <v>147379000</v>
      </c>
      <c r="F90" s="3">
        <v>185368000</v>
      </c>
      <c r="G90" s="3">
        <v>229881000</v>
      </c>
      <c r="H90" s="3">
        <v>278163000</v>
      </c>
      <c r="I90" s="3">
        <v>338112000</v>
      </c>
      <c r="J90" s="3">
        <v>719540000</v>
      </c>
      <c r="K90" s="3">
        <v>845639000</v>
      </c>
      <c r="L90" s="3">
        <v>1381023000</v>
      </c>
      <c r="M90" s="3">
        <v>1688210000</v>
      </c>
      <c r="N90" s="3">
        <v>2851894000</v>
      </c>
      <c r="O90" s="4">
        <v>3077404000</v>
      </c>
      <c r="P90" s="3">
        <v>2010430000</v>
      </c>
      <c r="Q90" s="3">
        <v>2851894000</v>
      </c>
      <c r="R90" s="3">
        <v>3007949000</v>
      </c>
      <c r="S90" s="3">
        <v>3077404000</v>
      </c>
    </row>
    <row r="91" spans="1:19" ht="16" x14ac:dyDescent="0.2">
      <c r="A91" s="2" t="s">
        <v>100</v>
      </c>
      <c r="B91" s="3">
        <v>8310589</v>
      </c>
      <c r="C91" s="3">
        <v>12625761</v>
      </c>
      <c r="D91" s="3">
        <v>13287989</v>
      </c>
      <c r="E91" s="3">
        <v>12511000</v>
      </c>
      <c r="F91" s="3">
        <v>16927000</v>
      </c>
      <c r="G91" s="3">
        <v>15976000</v>
      </c>
      <c r="H91" s="3">
        <v>28984000</v>
      </c>
      <c r="I91" s="3">
        <v>32094000</v>
      </c>
      <c r="J91" s="3">
        <v>56256000</v>
      </c>
      <c r="K91" s="3">
        <v>70875000</v>
      </c>
      <c r="L91" s="3">
        <v>83985000</v>
      </c>
      <c r="M91" s="3">
        <v>135927000</v>
      </c>
      <c r="N91" s="3">
        <v>215852000</v>
      </c>
      <c r="O91" s="4">
        <v>191151000</v>
      </c>
      <c r="P91" s="3">
        <v>162959000</v>
      </c>
      <c r="Q91" s="3">
        <v>215852000</v>
      </c>
      <c r="R91" s="3">
        <v>186595000</v>
      </c>
      <c r="S91" s="3">
        <v>191151000</v>
      </c>
    </row>
    <row r="92" spans="1:19" ht="16" x14ac:dyDescent="0.2">
      <c r="A92" s="2" t="s">
        <v>101</v>
      </c>
      <c r="B92" s="3">
        <v>4550789</v>
      </c>
      <c r="C92" s="3">
        <v>4513938</v>
      </c>
      <c r="D92" s="3">
        <v>6222904</v>
      </c>
      <c r="E92" s="3">
        <v>6221000</v>
      </c>
      <c r="F92" s="3">
        <v>7682000</v>
      </c>
      <c r="G92" s="3">
        <v>7333000</v>
      </c>
      <c r="H92" s="3">
        <v>10736000</v>
      </c>
      <c r="I92" s="3">
        <v>8592000</v>
      </c>
      <c r="J92" s="3">
        <v>15164000</v>
      </c>
      <c r="K92" s="3">
        <v>25874000</v>
      </c>
      <c r="L92" s="3">
        <v>24142000</v>
      </c>
      <c r="M92" s="3">
        <v>32220000</v>
      </c>
      <c r="N92" s="3">
        <v>59918000</v>
      </c>
      <c r="O92" s="4">
        <v>72989000</v>
      </c>
      <c r="P92" s="3">
        <v>50193000</v>
      </c>
      <c r="Q92" s="3">
        <v>59918000</v>
      </c>
      <c r="R92" s="3">
        <v>65988000</v>
      </c>
      <c r="S92" s="3">
        <v>72989000</v>
      </c>
    </row>
    <row r="93" spans="1:19" ht="16" x14ac:dyDescent="0.2">
      <c r="A93" s="2" t="s">
        <v>102</v>
      </c>
      <c r="B93" s="3" t="s">
        <v>24</v>
      </c>
      <c r="C93" s="3">
        <v>141488</v>
      </c>
      <c r="D93" s="3">
        <v>295595</v>
      </c>
      <c r="E93" s="3">
        <v>233000</v>
      </c>
      <c r="F93" s="3">
        <v>539000</v>
      </c>
      <c r="G93" s="3">
        <v>1215000</v>
      </c>
      <c r="H93" s="3">
        <v>4581000</v>
      </c>
      <c r="I93" s="3">
        <v>2558000</v>
      </c>
      <c r="J93" s="3">
        <v>4167000</v>
      </c>
      <c r="K93" s="3">
        <v>3362000</v>
      </c>
      <c r="L93" s="3">
        <v>3848000</v>
      </c>
      <c r="M93" s="3">
        <v>3736000</v>
      </c>
      <c r="N93" s="3">
        <v>13559000</v>
      </c>
      <c r="O93" s="4">
        <v>5825000</v>
      </c>
      <c r="P93" s="3">
        <v>3871000</v>
      </c>
      <c r="Q93" s="3">
        <v>13559000</v>
      </c>
      <c r="R93" s="3">
        <v>7486000</v>
      </c>
      <c r="S93" s="3">
        <v>5825000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3759800</v>
      </c>
      <c r="C95" s="3">
        <v>7970335</v>
      </c>
      <c r="D95" s="3">
        <v>6769490</v>
      </c>
      <c r="E95" s="3">
        <v>6057000</v>
      </c>
      <c r="F95" s="3">
        <v>8706000</v>
      </c>
      <c r="G95" s="3">
        <v>7428000</v>
      </c>
      <c r="H95" s="3">
        <v>13667000</v>
      </c>
      <c r="I95" s="3">
        <v>20944000</v>
      </c>
      <c r="J95" s="3">
        <v>36925000</v>
      </c>
      <c r="K95" s="3">
        <v>41639000</v>
      </c>
      <c r="L95" s="3">
        <v>55995000</v>
      </c>
      <c r="M95" s="3">
        <v>99971000</v>
      </c>
      <c r="N95" s="3">
        <v>142375000</v>
      </c>
      <c r="O95" s="4">
        <v>112337000</v>
      </c>
      <c r="P95" s="3">
        <v>108895000</v>
      </c>
      <c r="Q95" s="3">
        <v>142375000</v>
      </c>
      <c r="R95" s="3">
        <v>113121000</v>
      </c>
      <c r="S95" s="3">
        <v>112337000</v>
      </c>
    </row>
    <row r="96" spans="1:19" ht="16" x14ac:dyDescent="0.2">
      <c r="A96" s="2" t="s">
        <v>105</v>
      </c>
      <c r="B96" s="3" t="s">
        <v>24</v>
      </c>
      <c r="C96" s="3" t="s">
        <v>24</v>
      </c>
      <c r="D96" s="3">
        <v>33947</v>
      </c>
      <c r="E96" s="3">
        <v>36000</v>
      </c>
      <c r="F96" s="3">
        <v>38000</v>
      </c>
      <c r="G96" s="3">
        <v>87000</v>
      </c>
      <c r="H96" s="3">
        <v>0</v>
      </c>
      <c r="I96" s="3">
        <v>0</v>
      </c>
      <c r="J96" s="3">
        <v>0</v>
      </c>
      <c r="K96" s="3">
        <v>0</v>
      </c>
      <c r="L96" s="3">
        <v>0</v>
      </c>
      <c r="M96" s="3">
        <v>0</v>
      </c>
      <c r="N96" s="3">
        <v>0</v>
      </c>
      <c r="O96" s="4">
        <v>0</v>
      </c>
      <c r="P96" s="3">
        <v>0</v>
      </c>
      <c r="Q96" s="3">
        <v>0</v>
      </c>
      <c r="R96" s="3">
        <v>0</v>
      </c>
      <c r="S96" s="3">
        <v>0</v>
      </c>
    </row>
    <row r="97" spans="1:19" ht="16" x14ac:dyDescent="0.2">
      <c r="A97" s="2" t="s">
        <v>106</v>
      </c>
      <c r="B97" s="3" t="s">
        <v>24</v>
      </c>
      <c r="C97" s="3" t="s">
        <v>24</v>
      </c>
      <c r="D97" s="3" t="s">
        <v>24</v>
      </c>
      <c r="E97" s="3" t="s">
        <v>24</v>
      </c>
      <c r="F97" s="3" t="s">
        <v>24</v>
      </c>
      <c r="G97" s="3">
        <v>87000</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v>33947</v>
      </c>
      <c r="E98" s="3">
        <v>36000</v>
      </c>
      <c r="F98" s="3">
        <v>38000</v>
      </c>
      <c r="G98" s="3">
        <v>87000</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3637405</v>
      </c>
      <c r="C99" s="3">
        <v>3730955</v>
      </c>
      <c r="D99" s="3">
        <v>4787323</v>
      </c>
      <c r="E99" s="3">
        <v>8032000</v>
      </c>
      <c r="F99" s="3">
        <v>15008000</v>
      </c>
      <c r="G99" s="3">
        <v>22077000</v>
      </c>
      <c r="H99" s="3">
        <v>49055000</v>
      </c>
      <c r="I99" s="3">
        <v>75856000</v>
      </c>
      <c r="J99" s="3">
        <v>109755000</v>
      </c>
      <c r="K99" s="3">
        <v>124691000</v>
      </c>
      <c r="L99" s="3">
        <v>172346000</v>
      </c>
      <c r="M99" s="3">
        <v>282594000</v>
      </c>
      <c r="N99" s="3">
        <v>386794000</v>
      </c>
      <c r="O99" s="4">
        <v>434088000</v>
      </c>
      <c r="P99" s="3">
        <v>268564000</v>
      </c>
      <c r="Q99" s="3">
        <v>386794000</v>
      </c>
      <c r="R99" s="3">
        <v>429532000</v>
      </c>
      <c r="S99" s="3">
        <v>434088000</v>
      </c>
    </row>
    <row r="100" spans="1:19" ht="16" x14ac:dyDescent="0.2">
      <c r="A100" s="2" t="s">
        <v>109</v>
      </c>
      <c r="B100" s="3">
        <v>3265260</v>
      </c>
      <c r="C100" s="3">
        <v>3730955</v>
      </c>
      <c r="D100" s="3">
        <v>4787323</v>
      </c>
      <c r="E100" s="3">
        <v>8032000</v>
      </c>
      <c r="F100" s="3">
        <v>15008000</v>
      </c>
      <c r="G100" s="3">
        <v>22077000</v>
      </c>
      <c r="H100" s="3">
        <v>47285000</v>
      </c>
      <c r="I100" s="3">
        <v>74074000</v>
      </c>
      <c r="J100" s="3">
        <v>109718000</v>
      </c>
      <c r="K100" s="3">
        <v>120838000</v>
      </c>
      <c r="L100" s="3">
        <v>166915000</v>
      </c>
      <c r="M100" s="3">
        <v>276054000</v>
      </c>
      <c r="N100" s="3">
        <v>380436000</v>
      </c>
      <c r="O100" s="4">
        <v>426729000</v>
      </c>
      <c r="P100" s="3">
        <v>261763000</v>
      </c>
      <c r="Q100" s="3">
        <v>380436000</v>
      </c>
      <c r="R100" s="3">
        <v>422022000</v>
      </c>
      <c r="S100" s="3">
        <v>426729000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372145</v>
      </c>
      <c r="C103" s="3" t="s">
        <v>24</v>
      </c>
      <c r="D103" s="3" t="s">
        <v>24</v>
      </c>
      <c r="E103" s="3" t="s">
        <v>24</v>
      </c>
      <c r="F103" s="3" t="s">
        <v>24</v>
      </c>
      <c r="G103" s="3" t="s">
        <v>24</v>
      </c>
      <c r="H103" s="3">
        <v>1770000</v>
      </c>
      <c r="I103" s="3">
        <v>1782000</v>
      </c>
      <c r="J103" s="3">
        <v>37000</v>
      </c>
      <c r="K103" s="3">
        <v>3853000</v>
      </c>
      <c r="L103" s="3">
        <v>5431000</v>
      </c>
      <c r="M103" s="3">
        <v>6540000</v>
      </c>
      <c r="N103" s="3">
        <v>6358000</v>
      </c>
      <c r="O103" s="4">
        <v>7359000</v>
      </c>
      <c r="P103" s="3">
        <v>6801000</v>
      </c>
      <c r="Q103" s="3">
        <v>6358000</v>
      </c>
      <c r="R103" s="3">
        <v>7510000</v>
      </c>
      <c r="S103" s="3">
        <v>7359000</v>
      </c>
    </row>
    <row r="104" spans="1:19" ht="16" x14ac:dyDescent="0.2">
      <c r="A104" s="2" t="s">
        <v>113</v>
      </c>
      <c r="B104" s="3">
        <v>11947994</v>
      </c>
      <c r="C104" s="3">
        <v>16356716</v>
      </c>
      <c r="D104" s="3">
        <v>18109259</v>
      </c>
      <c r="E104" s="3">
        <v>20579000</v>
      </c>
      <c r="F104" s="3">
        <v>31973000</v>
      </c>
      <c r="G104" s="3">
        <v>38140000</v>
      </c>
      <c r="H104" s="3">
        <v>78039000</v>
      </c>
      <c r="I104" s="3">
        <v>107950000</v>
      </c>
      <c r="J104" s="3">
        <v>166011000</v>
      </c>
      <c r="K104" s="3">
        <v>195566000</v>
      </c>
      <c r="L104" s="3">
        <v>256331000</v>
      </c>
      <c r="M104" s="3">
        <v>418521000</v>
      </c>
      <c r="N104" s="3">
        <v>602646000</v>
      </c>
      <c r="O104" s="4">
        <v>625239000</v>
      </c>
      <c r="P104" s="3">
        <v>431523000</v>
      </c>
      <c r="Q104" s="3">
        <v>602646000</v>
      </c>
      <c r="R104" s="3">
        <v>616127000</v>
      </c>
      <c r="S104" s="3">
        <v>625239000</v>
      </c>
    </row>
    <row r="105" spans="1:19" ht="16" x14ac:dyDescent="0.2">
      <c r="A105" s="2" t="s">
        <v>114</v>
      </c>
      <c r="B105" s="3" t="s">
        <v>24</v>
      </c>
      <c r="C105" s="3" t="s">
        <v>24</v>
      </c>
      <c r="D105" s="3">
        <v>103283</v>
      </c>
      <c r="E105" s="3">
        <v>67000</v>
      </c>
      <c r="F105" s="3">
        <v>29000</v>
      </c>
      <c r="G105" s="3">
        <v>81000</v>
      </c>
      <c r="H105" s="3">
        <v>0</v>
      </c>
      <c r="I105" s="3">
        <v>0</v>
      </c>
      <c r="J105" s="3">
        <v>0</v>
      </c>
      <c r="K105" s="3">
        <v>0</v>
      </c>
      <c r="L105" s="3">
        <v>0</v>
      </c>
      <c r="M105" s="3">
        <v>20440000</v>
      </c>
      <c r="N105" s="3">
        <v>711110000</v>
      </c>
      <c r="O105" s="4">
        <v>709505000</v>
      </c>
      <c r="P105" s="3">
        <v>16311000</v>
      </c>
      <c r="Q105" s="3">
        <v>711110000</v>
      </c>
      <c r="R105" s="3">
        <v>709769000</v>
      </c>
      <c r="S105" s="3">
        <v>709505000</v>
      </c>
    </row>
    <row r="106" spans="1:19" ht="16" x14ac:dyDescent="0.2">
      <c r="A106" s="2" t="s">
        <v>115</v>
      </c>
      <c r="B106" s="3" t="s">
        <v>24</v>
      </c>
      <c r="C106" s="3" t="s">
        <v>24</v>
      </c>
      <c r="D106" s="3">
        <v>103283</v>
      </c>
      <c r="E106" s="3">
        <v>67000</v>
      </c>
      <c r="F106" s="3">
        <v>29000</v>
      </c>
      <c r="G106" s="3">
        <v>81000</v>
      </c>
      <c r="H106" s="3" t="s">
        <v>24</v>
      </c>
      <c r="I106" s="3" t="s">
        <v>24</v>
      </c>
      <c r="J106" s="3" t="s">
        <v>24</v>
      </c>
      <c r="K106" s="3" t="s">
        <v>24</v>
      </c>
      <c r="L106" s="3" t="s">
        <v>24</v>
      </c>
      <c r="M106" s="3" t="s">
        <v>24</v>
      </c>
      <c r="N106" s="3">
        <v>673967000</v>
      </c>
      <c r="O106" s="4">
        <v>675518000</v>
      </c>
      <c r="P106" s="3" t="s">
        <v>24</v>
      </c>
      <c r="Q106" s="3">
        <v>673967000</v>
      </c>
      <c r="R106" s="3">
        <v>674724000</v>
      </c>
      <c r="S106" s="3">
        <v>675518000</v>
      </c>
    </row>
    <row r="107" spans="1:19" ht="16" x14ac:dyDescent="0.2">
      <c r="A107" s="2" t="s">
        <v>116</v>
      </c>
      <c r="B107" s="3" t="s">
        <v>24</v>
      </c>
      <c r="C107" s="3" t="s">
        <v>24</v>
      </c>
      <c r="D107" s="3" t="s">
        <v>24</v>
      </c>
      <c r="E107" s="3">
        <v>67000</v>
      </c>
      <c r="F107" s="3">
        <v>29000</v>
      </c>
      <c r="G107" s="3" t="s">
        <v>24</v>
      </c>
      <c r="H107" s="3" t="s">
        <v>24</v>
      </c>
      <c r="I107" s="3" t="s">
        <v>24</v>
      </c>
      <c r="J107" s="3" t="s">
        <v>24</v>
      </c>
      <c r="K107" s="3" t="s">
        <v>24</v>
      </c>
      <c r="L107" s="3" t="s">
        <v>24</v>
      </c>
      <c r="M107" s="3">
        <v>20440000</v>
      </c>
      <c r="N107" s="3">
        <v>37143000</v>
      </c>
      <c r="O107" s="4">
        <v>33987000</v>
      </c>
      <c r="P107" s="3">
        <v>16311000</v>
      </c>
      <c r="Q107" s="3">
        <v>37143000</v>
      </c>
      <c r="R107" s="3">
        <v>35045000</v>
      </c>
      <c r="S107" s="3">
        <v>33987000</v>
      </c>
    </row>
    <row r="108" spans="1:19" ht="16" x14ac:dyDescent="0.2">
      <c r="A108" s="2" t="s">
        <v>117</v>
      </c>
      <c r="B108" s="3">
        <v>6674700</v>
      </c>
      <c r="C108" s="3">
        <v>6619300</v>
      </c>
      <c r="D108" s="3">
        <v>10738663</v>
      </c>
      <c r="E108" s="3">
        <v>16839000</v>
      </c>
      <c r="F108" s="3">
        <v>24260000</v>
      </c>
      <c r="G108" s="3">
        <v>34656000</v>
      </c>
      <c r="H108" s="3">
        <v>49236000</v>
      </c>
      <c r="I108" s="3">
        <v>62718000</v>
      </c>
      <c r="J108" s="3">
        <v>86205000</v>
      </c>
      <c r="K108" s="3">
        <v>106578000</v>
      </c>
      <c r="L108" s="3">
        <v>148437000</v>
      </c>
      <c r="M108" s="3">
        <v>201400000</v>
      </c>
      <c r="N108" s="3">
        <v>269647000</v>
      </c>
      <c r="O108" s="4">
        <v>297662000</v>
      </c>
      <c r="P108" s="3">
        <v>331283000</v>
      </c>
      <c r="Q108" s="3">
        <v>269647000</v>
      </c>
      <c r="R108" s="3">
        <v>279058000</v>
      </c>
      <c r="S108" s="3">
        <v>297662000</v>
      </c>
    </row>
    <row r="109" spans="1:19" ht="16" x14ac:dyDescent="0.2">
      <c r="A109" s="2" t="s">
        <v>118</v>
      </c>
      <c r="B109" s="3">
        <v>4392860</v>
      </c>
      <c r="C109" s="3">
        <v>6619300</v>
      </c>
      <c r="D109" s="3">
        <v>7835767</v>
      </c>
      <c r="E109" s="3">
        <v>13341000</v>
      </c>
      <c r="F109" s="3">
        <v>22789000</v>
      </c>
      <c r="G109" s="3">
        <v>32389000</v>
      </c>
      <c r="H109" s="3">
        <v>43416000</v>
      </c>
      <c r="I109" s="3">
        <v>58740000</v>
      </c>
      <c r="J109" s="3">
        <v>77652000</v>
      </c>
      <c r="K109" s="3">
        <v>92226000</v>
      </c>
      <c r="L109" s="3">
        <v>116603000</v>
      </c>
      <c r="M109" s="3">
        <v>192211000</v>
      </c>
      <c r="N109" s="3">
        <v>254289000</v>
      </c>
      <c r="O109" s="4">
        <v>277007000</v>
      </c>
      <c r="P109" s="3">
        <v>319193000</v>
      </c>
      <c r="Q109" s="3">
        <v>254289000</v>
      </c>
      <c r="R109" s="3">
        <v>258349000</v>
      </c>
      <c r="S109" s="3">
        <v>277007000</v>
      </c>
    </row>
    <row r="110" spans="1:19" ht="16" x14ac:dyDescent="0.2">
      <c r="A110" s="2" t="s">
        <v>119</v>
      </c>
      <c r="B110" s="3" t="s">
        <v>24</v>
      </c>
      <c r="C110" s="3" t="s">
        <v>24</v>
      </c>
      <c r="D110" s="3">
        <v>2902896</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2281840</v>
      </c>
      <c r="C114" s="3" t="s">
        <v>24</v>
      </c>
      <c r="D114" s="3" t="s">
        <v>24</v>
      </c>
      <c r="E114" s="3">
        <v>3498000</v>
      </c>
      <c r="F114" s="3">
        <v>1471000</v>
      </c>
      <c r="G114" s="3">
        <v>2267000</v>
      </c>
      <c r="H114" s="3">
        <v>5820000</v>
      </c>
      <c r="I114" s="3">
        <v>3978000</v>
      </c>
      <c r="J114" s="3">
        <v>8553000</v>
      </c>
      <c r="K114" s="3">
        <v>14352000</v>
      </c>
      <c r="L114" s="3">
        <v>31834000</v>
      </c>
      <c r="M114" s="3">
        <v>9189000</v>
      </c>
      <c r="N114" s="3">
        <v>15358000</v>
      </c>
      <c r="O114" s="4">
        <v>20655000</v>
      </c>
      <c r="P114" s="3">
        <v>12090000</v>
      </c>
      <c r="Q114" s="3">
        <v>15358000</v>
      </c>
      <c r="R114" s="3">
        <v>20709000</v>
      </c>
      <c r="S114" s="3">
        <v>20655000</v>
      </c>
    </row>
    <row r="115" spans="1:19" ht="16" x14ac:dyDescent="0.2">
      <c r="A115" s="2" t="s">
        <v>121</v>
      </c>
      <c r="B115" s="3">
        <v>6674700</v>
      </c>
      <c r="C115" s="3">
        <v>6619300</v>
      </c>
      <c r="D115" s="3">
        <v>10841946</v>
      </c>
      <c r="E115" s="3">
        <v>16906000</v>
      </c>
      <c r="F115" s="3">
        <v>24289000</v>
      </c>
      <c r="G115" s="3">
        <v>34737000</v>
      </c>
      <c r="H115" s="3">
        <v>49236000</v>
      </c>
      <c r="I115" s="3">
        <v>62718000</v>
      </c>
      <c r="J115" s="3">
        <v>86205000</v>
      </c>
      <c r="K115" s="3">
        <v>106578000</v>
      </c>
      <c r="L115" s="3">
        <v>148437000</v>
      </c>
      <c r="M115" s="3">
        <v>221840000</v>
      </c>
      <c r="N115" s="3">
        <v>980757000</v>
      </c>
      <c r="O115" s="4">
        <v>1007167000</v>
      </c>
      <c r="P115" s="3">
        <v>347594000</v>
      </c>
      <c r="Q115" s="3">
        <v>980757000</v>
      </c>
      <c r="R115" s="3">
        <v>988827000</v>
      </c>
      <c r="S115" s="3">
        <v>1007167000</v>
      </c>
    </row>
    <row r="116" spans="1:19" ht="16" x14ac:dyDescent="0.2">
      <c r="A116" s="2" t="s">
        <v>122</v>
      </c>
      <c r="B116" s="3">
        <v>18622694</v>
      </c>
      <c r="C116" s="3">
        <v>22976016</v>
      </c>
      <c r="D116" s="3">
        <v>28951205</v>
      </c>
      <c r="E116" s="3">
        <v>37485000</v>
      </c>
      <c r="F116" s="3">
        <v>56262000</v>
      </c>
      <c r="G116" s="3">
        <v>72877000</v>
      </c>
      <c r="H116" s="3">
        <v>127275000</v>
      </c>
      <c r="I116" s="3">
        <v>170668000</v>
      </c>
      <c r="J116" s="3">
        <v>252216000</v>
      </c>
      <c r="K116" s="3">
        <v>302144000</v>
      </c>
      <c r="L116" s="3">
        <v>404768000</v>
      </c>
      <c r="M116" s="3">
        <v>640361000</v>
      </c>
      <c r="N116" s="3">
        <v>1583403000</v>
      </c>
      <c r="O116" s="4">
        <v>1632406000</v>
      </c>
      <c r="P116" s="3">
        <v>779117000</v>
      </c>
      <c r="Q116" s="3">
        <v>1583403000</v>
      </c>
      <c r="R116" s="3">
        <v>1604954000</v>
      </c>
      <c r="S116" s="3">
        <v>1632406000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97122732</v>
      </c>
      <c r="C118" s="3">
        <v>101598278</v>
      </c>
      <c r="D118" s="3">
        <v>111662054</v>
      </c>
      <c r="E118" s="3">
        <v>139425000</v>
      </c>
      <c r="F118" s="3">
        <v>162642000</v>
      </c>
      <c r="G118" s="3">
        <v>178144000</v>
      </c>
      <c r="H118" s="3">
        <v>187657000</v>
      </c>
      <c r="I118" s="3">
        <v>201673000</v>
      </c>
      <c r="J118" s="3">
        <v>453401000</v>
      </c>
      <c r="K118" s="3">
        <v>528273000</v>
      </c>
      <c r="L118" s="3">
        <v>962160000</v>
      </c>
      <c r="M118" s="3">
        <v>1095230000</v>
      </c>
      <c r="N118" s="3">
        <v>1174595000</v>
      </c>
      <c r="O118" s="4">
        <v>1293090000</v>
      </c>
      <c r="P118" s="3">
        <v>1167219000</v>
      </c>
      <c r="Q118" s="3">
        <v>1174595000</v>
      </c>
      <c r="R118" s="3">
        <v>1262100000</v>
      </c>
      <c r="S118" s="3">
        <v>1293090000</v>
      </c>
    </row>
    <row r="119" spans="1:19" ht="16" x14ac:dyDescent="0.2">
      <c r="A119" s="2" t="s">
        <v>125</v>
      </c>
      <c r="B119" s="3">
        <v>647</v>
      </c>
      <c r="C119" s="3">
        <v>652</v>
      </c>
      <c r="D119" s="3">
        <v>661</v>
      </c>
      <c r="E119" s="3">
        <v>1000</v>
      </c>
      <c r="F119" s="3">
        <v>1000</v>
      </c>
      <c r="G119" s="3">
        <v>1000</v>
      </c>
      <c r="H119" s="3">
        <v>1000</v>
      </c>
      <c r="I119" s="3">
        <v>1000</v>
      </c>
      <c r="J119" s="3">
        <v>1000</v>
      </c>
      <c r="K119" s="3">
        <v>1000</v>
      </c>
      <c r="L119" s="3">
        <v>1000</v>
      </c>
      <c r="M119" s="3">
        <v>1000</v>
      </c>
      <c r="N119" s="3">
        <v>1000</v>
      </c>
      <c r="O119" s="4">
        <v>1000</v>
      </c>
      <c r="P119" s="3">
        <v>1000</v>
      </c>
      <c r="Q119" s="3">
        <v>1000</v>
      </c>
      <c r="R119" s="3">
        <v>1000</v>
      </c>
      <c r="S119" s="3">
        <v>1000</v>
      </c>
    </row>
    <row r="120" spans="1:19" ht="16" x14ac:dyDescent="0.2">
      <c r="A120" s="2" t="s">
        <v>126</v>
      </c>
      <c r="B120" s="3">
        <v>97122085</v>
      </c>
      <c r="C120" s="3">
        <v>101597626</v>
      </c>
      <c r="D120" s="3">
        <v>111661393</v>
      </c>
      <c r="E120" s="3">
        <v>139424000</v>
      </c>
      <c r="F120" s="3">
        <v>162641000</v>
      </c>
      <c r="G120" s="3">
        <v>178143000</v>
      </c>
      <c r="H120" s="3">
        <v>187656000</v>
      </c>
      <c r="I120" s="3">
        <v>201672000</v>
      </c>
      <c r="J120" s="3">
        <v>453400000</v>
      </c>
      <c r="K120" s="3">
        <v>528272000</v>
      </c>
      <c r="L120" s="3">
        <v>962159000</v>
      </c>
      <c r="M120" s="3">
        <v>1095229000</v>
      </c>
      <c r="N120" s="3">
        <v>1174594000</v>
      </c>
      <c r="O120" s="4">
        <v>1293089000</v>
      </c>
      <c r="P120" s="3">
        <v>1167218000</v>
      </c>
      <c r="Q120" s="3">
        <v>1174594000</v>
      </c>
      <c r="R120" s="3">
        <v>1262099000</v>
      </c>
      <c r="S120" s="3">
        <v>1293089000</v>
      </c>
    </row>
    <row r="121" spans="1:19" ht="16" x14ac:dyDescent="0.2">
      <c r="A121" s="2" t="s">
        <v>127</v>
      </c>
      <c r="B121" s="3">
        <v>14708237</v>
      </c>
      <c r="C121" s="3">
        <v>47207093</v>
      </c>
      <c r="D121" s="3">
        <v>67203043</v>
      </c>
      <c r="E121" s="3">
        <v>92203000</v>
      </c>
      <c r="F121" s="3">
        <v>114645000</v>
      </c>
      <c r="G121" s="3">
        <v>122201000</v>
      </c>
      <c r="H121" s="3">
        <v>155947000</v>
      </c>
      <c r="I121" s="3">
        <v>155947000</v>
      </c>
      <c r="J121" s="3">
        <v>155947000</v>
      </c>
      <c r="K121" s="3">
        <v>155947000</v>
      </c>
      <c r="L121" s="3">
        <v>155947000</v>
      </c>
      <c r="M121" s="3">
        <v>155947000</v>
      </c>
      <c r="N121" s="3">
        <v>155947000</v>
      </c>
      <c r="O121" s="4">
        <v>155947000</v>
      </c>
      <c r="P121" s="3">
        <v>155947000</v>
      </c>
      <c r="Q121" s="3">
        <v>155947000</v>
      </c>
      <c r="R121" s="3">
        <v>155947000</v>
      </c>
      <c r="S121" s="3">
        <v>155947000</v>
      </c>
    </row>
    <row r="122" spans="1:19" ht="16" x14ac:dyDescent="0.2">
      <c r="A122" s="2" t="s">
        <v>128</v>
      </c>
      <c r="B122" s="3">
        <v>35185191</v>
      </c>
      <c r="C122" s="3">
        <v>27857971</v>
      </c>
      <c r="D122" s="3">
        <v>42883067</v>
      </c>
      <c r="E122" s="3">
        <v>62674000</v>
      </c>
      <c r="F122" s="3">
        <v>81045000</v>
      </c>
      <c r="G122" s="3">
        <v>100978000</v>
      </c>
      <c r="H122" s="3">
        <v>118275000</v>
      </c>
      <c r="I122" s="3">
        <v>123185000</v>
      </c>
      <c r="J122" s="3">
        <v>171383000</v>
      </c>
      <c r="K122" s="3">
        <v>172265000</v>
      </c>
      <c r="L122" s="3">
        <v>169901000</v>
      </c>
      <c r="M122" s="3">
        <v>109883000</v>
      </c>
      <c r="N122" s="3">
        <v>257022000</v>
      </c>
      <c r="O122" s="4">
        <v>314581000</v>
      </c>
      <c r="P122" s="3">
        <v>227847000</v>
      </c>
      <c r="Q122" s="3">
        <v>257022000</v>
      </c>
      <c r="R122" s="3">
        <v>302161000</v>
      </c>
      <c r="S122" s="3">
        <v>314581000</v>
      </c>
    </row>
    <row r="123" spans="1:19" ht="16" x14ac:dyDescent="0.2">
      <c r="A123" s="2" t="s">
        <v>129</v>
      </c>
      <c r="B123" s="3">
        <v>-35445</v>
      </c>
      <c r="C123" s="3">
        <v>-80956</v>
      </c>
      <c r="D123" s="3">
        <v>-57032</v>
      </c>
      <c r="E123" s="3">
        <v>-2000</v>
      </c>
      <c r="F123" s="3">
        <v>64000</v>
      </c>
      <c r="G123" s="3">
        <v>83000</v>
      </c>
      <c r="H123" s="3">
        <v>903000</v>
      </c>
      <c r="I123" s="3">
        <v>-1467000</v>
      </c>
      <c r="J123" s="3">
        <v>-1513000</v>
      </c>
      <c r="K123" s="3">
        <v>-1096000</v>
      </c>
      <c r="L123" s="3">
        <v>141000</v>
      </c>
      <c r="M123" s="3">
        <v>-1317000</v>
      </c>
      <c r="N123" s="3">
        <v>-7179000</v>
      </c>
      <c r="O123" s="4">
        <v>-6726000</v>
      </c>
      <c r="P123" s="3">
        <v>-7806000</v>
      </c>
      <c r="Q123" s="3">
        <v>-7179000</v>
      </c>
      <c r="R123" s="3">
        <v>-5319000</v>
      </c>
      <c r="S123" s="3">
        <v>-6726000</v>
      </c>
    </row>
    <row r="124" spans="1:19" ht="16" x14ac:dyDescent="0.2">
      <c r="A124" s="2" t="s">
        <v>130</v>
      </c>
      <c r="B124" s="3">
        <v>117564241</v>
      </c>
      <c r="C124" s="3">
        <v>82168200</v>
      </c>
      <c r="D124" s="3">
        <v>87285046</v>
      </c>
      <c r="E124" s="3">
        <v>109894000</v>
      </c>
      <c r="F124" s="3">
        <v>129106000</v>
      </c>
      <c r="G124" s="3">
        <v>157004000</v>
      </c>
      <c r="H124" s="3">
        <v>150888000</v>
      </c>
      <c r="I124" s="3">
        <v>167444000</v>
      </c>
      <c r="J124" s="3">
        <v>467324000</v>
      </c>
      <c r="K124" s="3">
        <v>543495000</v>
      </c>
      <c r="L124" s="3">
        <v>976255000</v>
      </c>
      <c r="M124" s="3">
        <v>1047849000</v>
      </c>
      <c r="N124" s="3">
        <v>1268491000</v>
      </c>
      <c r="O124" s="4">
        <v>1444998000</v>
      </c>
      <c r="P124" s="3">
        <v>1231313000</v>
      </c>
      <c r="Q124" s="3">
        <v>1268491000</v>
      </c>
      <c r="R124" s="3">
        <v>1402995000</v>
      </c>
      <c r="S124" s="3">
        <v>1444998000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117564241</v>
      </c>
      <c r="C126" s="3">
        <v>82168200</v>
      </c>
      <c r="D126" s="3">
        <v>87285046</v>
      </c>
      <c r="E126" s="3">
        <v>109894000</v>
      </c>
      <c r="F126" s="3">
        <v>129106000</v>
      </c>
      <c r="G126" s="3">
        <v>157004000</v>
      </c>
      <c r="H126" s="3">
        <v>150888000</v>
      </c>
      <c r="I126" s="3">
        <v>167444000</v>
      </c>
      <c r="J126" s="3">
        <v>467324000</v>
      </c>
      <c r="K126" s="3">
        <v>543495000</v>
      </c>
      <c r="L126" s="3">
        <v>976255000</v>
      </c>
      <c r="M126" s="3">
        <v>1047849000</v>
      </c>
      <c r="N126" s="3">
        <v>1268491000</v>
      </c>
      <c r="O126" s="4">
        <v>1444998000</v>
      </c>
      <c r="P126" s="3">
        <v>1231313000</v>
      </c>
      <c r="Q126" s="3">
        <v>1268491000</v>
      </c>
      <c r="R126" s="3">
        <v>1402995000</v>
      </c>
      <c r="S126" s="3">
        <v>1444998000</v>
      </c>
    </row>
    <row r="127" spans="1:19" ht="16" x14ac:dyDescent="0.2">
      <c r="A127" s="2" t="s">
        <v>133</v>
      </c>
      <c r="B127" s="3">
        <v>136186935</v>
      </c>
      <c r="C127" s="3">
        <v>105144216</v>
      </c>
      <c r="D127" s="3">
        <v>116236251</v>
      </c>
      <c r="E127" s="3">
        <v>147379000</v>
      </c>
      <c r="F127" s="3">
        <v>185368000</v>
      </c>
      <c r="G127" s="3">
        <v>229881000</v>
      </c>
      <c r="H127" s="3">
        <v>278163000</v>
      </c>
      <c r="I127" s="3">
        <v>338112000</v>
      </c>
      <c r="J127" s="3">
        <v>719540000</v>
      </c>
      <c r="K127" s="3">
        <v>845639000</v>
      </c>
      <c r="L127" s="3">
        <v>1381023000</v>
      </c>
      <c r="M127" s="3">
        <v>1688210000</v>
      </c>
      <c r="N127" s="3">
        <v>2851894000</v>
      </c>
      <c r="O127" s="4">
        <v>3077404000</v>
      </c>
      <c r="P127" s="3">
        <v>2010430000</v>
      </c>
      <c r="Q127" s="3">
        <v>2851894000</v>
      </c>
      <c r="R127" s="3">
        <v>3007949000</v>
      </c>
      <c r="S127" s="3">
        <v>3077404000</v>
      </c>
    </row>
    <row r="128" spans="1:19" ht="16" x14ac:dyDescent="0.2">
      <c r="A128" s="32" t="s">
        <v>134</v>
      </c>
      <c r="B128" s="30">
        <v>62621268</v>
      </c>
      <c r="C128" s="30">
        <v>55696608</v>
      </c>
      <c r="D128" s="30">
        <v>52770392</v>
      </c>
      <c r="E128" s="30">
        <v>52725247</v>
      </c>
      <c r="F128" s="30">
        <v>53000867</v>
      </c>
      <c r="G128" s="30">
        <v>53692192</v>
      </c>
      <c r="H128" s="30">
        <v>52325251</v>
      </c>
      <c r="I128" s="30">
        <v>52969869</v>
      </c>
      <c r="J128" s="30">
        <v>58810637</v>
      </c>
      <c r="K128" s="30">
        <v>59497759</v>
      </c>
      <c r="L128" s="30">
        <v>63766555</v>
      </c>
      <c r="M128" s="30">
        <v>70896856</v>
      </c>
      <c r="N128" s="30">
        <v>71474581</v>
      </c>
      <c r="O128" s="31">
        <v>74763004</v>
      </c>
      <c r="P128" s="30">
        <v>71151670</v>
      </c>
      <c r="Q128" s="30">
        <v>71474581</v>
      </c>
      <c r="R128" s="30">
        <v>73874062</v>
      </c>
      <c r="S128" s="30">
        <v>74763004</v>
      </c>
    </row>
    <row r="129" spans="1:30" ht="19" x14ac:dyDescent="0.25">
      <c r="A129" s="15" t="s">
        <v>197</v>
      </c>
      <c r="B129" s="10"/>
      <c r="C129" s="11">
        <f>(C128/B128)-1</f>
        <v>-0.11058000294724146</v>
      </c>
      <c r="D129" s="11">
        <f>(D128/C128)-1</f>
        <v>-5.2538495701569432E-2</v>
      </c>
      <c r="E129" s="11">
        <f>(E128/D128)-1</f>
        <v>-8.5549866675238562E-4</v>
      </c>
      <c r="F129" s="11">
        <f t="shared" ref="F129:N129" si="6">(F128/E128)-1</f>
        <v>5.227476696315847E-3</v>
      </c>
      <c r="G129" s="11">
        <f t="shared" si="6"/>
        <v>1.3043654550028316E-2</v>
      </c>
      <c r="H129" s="11">
        <f t="shared" si="6"/>
        <v>-2.545884138982446E-2</v>
      </c>
      <c r="I129" s="11">
        <f t="shared" si="6"/>
        <v>1.2319444009929459E-2</v>
      </c>
      <c r="J129" s="11">
        <f t="shared" si="6"/>
        <v>0.11026585699126423</v>
      </c>
      <c r="K129" s="11">
        <f t="shared" si="6"/>
        <v>1.168363471390399E-2</v>
      </c>
      <c r="L129" s="11">
        <f t="shared" si="6"/>
        <v>7.1747172864107478E-2</v>
      </c>
      <c r="M129" s="11">
        <f t="shared" si="6"/>
        <v>0.11181882101048113</v>
      </c>
      <c r="N129" s="11">
        <f t="shared" si="6"/>
        <v>8.1488098710611467E-3</v>
      </c>
      <c r="O129" s="11">
        <f>(O128/N128)-1</f>
        <v>4.6008286498384621E-2</v>
      </c>
      <c r="P129" s="11"/>
      <c r="Q129" s="11">
        <f>(Q128/P128)-1</f>
        <v>4.5383474484856912E-3</v>
      </c>
      <c r="R129" s="11">
        <f>(R128/Q128)-1</f>
        <v>3.357110970682009E-2</v>
      </c>
      <c r="S129" s="11">
        <f>(S128/R128)-1</f>
        <v>1.2033208624699698E-2</v>
      </c>
      <c r="T129" s="12"/>
      <c r="U129" s="12"/>
      <c r="V129" s="12"/>
      <c r="W129" s="12"/>
      <c r="X129" s="12"/>
      <c r="Y129" s="12"/>
      <c r="Z129" s="12"/>
      <c r="AA129" s="13"/>
      <c r="AB129" s="13"/>
      <c r="AC129" s="13"/>
      <c r="AD129" s="13"/>
    </row>
    <row r="130" spans="1:30" ht="16" x14ac:dyDescent="0.2">
      <c r="A130" s="2" t="s">
        <v>135</v>
      </c>
      <c r="B130" s="3" t="s">
        <v>24</v>
      </c>
      <c r="C130" s="3" t="s">
        <v>24</v>
      </c>
      <c r="D130" s="3">
        <v>33947</v>
      </c>
      <c r="E130" s="3">
        <v>103000</v>
      </c>
      <c r="F130" s="3">
        <v>67000</v>
      </c>
      <c r="G130" s="3">
        <v>87000</v>
      </c>
      <c r="H130" s="3" t="s">
        <v>24</v>
      </c>
      <c r="I130" s="3" t="s">
        <v>24</v>
      </c>
      <c r="J130" s="3" t="s">
        <v>24</v>
      </c>
      <c r="K130" s="3" t="s">
        <v>24</v>
      </c>
      <c r="L130" s="3" t="s">
        <v>24</v>
      </c>
      <c r="M130" s="3">
        <v>20440000</v>
      </c>
      <c r="N130" s="3">
        <v>37143000</v>
      </c>
      <c r="O130" s="4">
        <v>33987000</v>
      </c>
      <c r="P130" s="3">
        <v>16311000</v>
      </c>
      <c r="Q130" s="3">
        <v>37143000</v>
      </c>
      <c r="R130" s="3">
        <v>35045000</v>
      </c>
      <c r="S130" s="3">
        <v>33987000</v>
      </c>
    </row>
    <row r="131" spans="1:30" ht="16" x14ac:dyDescent="0.2">
      <c r="A131" s="2" t="s">
        <v>136</v>
      </c>
      <c r="B131" s="3">
        <v>-42684241</v>
      </c>
      <c r="C131" s="3">
        <v>-21300733</v>
      </c>
      <c r="D131" s="3">
        <v>-36023508</v>
      </c>
      <c r="E131" s="3">
        <v>-42204000</v>
      </c>
      <c r="F131" s="3">
        <v>-48338000</v>
      </c>
      <c r="G131" s="3">
        <v>-59358000</v>
      </c>
      <c r="H131" s="3">
        <v>-40651000</v>
      </c>
      <c r="I131" s="3">
        <v>-75105000</v>
      </c>
      <c r="J131" s="3">
        <v>-349462000</v>
      </c>
      <c r="K131" s="3">
        <v>-172250000</v>
      </c>
      <c r="L131" s="3">
        <v>-155440000</v>
      </c>
      <c r="M131" s="3">
        <v>-356332000</v>
      </c>
      <c r="N131" s="3">
        <v>320283000</v>
      </c>
      <c r="O131" s="4">
        <v>201315000</v>
      </c>
      <c r="P131" s="3">
        <v>-147711000</v>
      </c>
      <c r="Q131" s="3">
        <v>320283000</v>
      </c>
      <c r="R131" s="3">
        <v>411310000</v>
      </c>
      <c r="S131" s="3">
        <v>201315000</v>
      </c>
    </row>
    <row r="132" spans="1:30" ht="16" x14ac:dyDescent="0.2">
      <c r="A132" s="2" t="s">
        <v>137</v>
      </c>
      <c r="B132" s="5">
        <v>-36.31</v>
      </c>
      <c r="C132" s="5">
        <v>-25.92</v>
      </c>
      <c r="D132" s="5">
        <v>-41.27</v>
      </c>
      <c r="E132" s="5">
        <v>-38.4</v>
      </c>
      <c r="F132" s="5">
        <v>-37.44</v>
      </c>
      <c r="G132" s="5">
        <v>-37.81</v>
      </c>
      <c r="H132" s="5">
        <v>-26.94</v>
      </c>
      <c r="I132" s="5">
        <v>-44.85</v>
      </c>
      <c r="J132" s="5">
        <v>-74.78</v>
      </c>
      <c r="K132" s="5">
        <v>-31.69</v>
      </c>
      <c r="L132" s="5">
        <v>-15.92</v>
      </c>
      <c r="M132" s="5">
        <v>-34.01</v>
      </c>
      <c r="N132" s="5">
        <v>25.25</v>
      </c>
      <c r="O132" s="6">
        <v>13.93</v>
      </c>
      <c r="P132" s="3">
        <v>-12</v>
      </c>
      <c r="Q132" s="5">
        <v>25.25</v>
      </c>
      <c r="R132" s="5">
        <v>29.32</v>
      </c>
      <c r="S132" s="5">
        <v>13.93</v>
      </c>
    </row>
    <row r="133" spans="1:30" ht="16" x14ac:dyDescent="0.2">
      <c r="A133" s="2" t="s">
        <v>138</v>
      </c>
      <c r="B133" s="5">
        <v>86.01</v>
      </c>
      <c r="C133" s="5">
        <v>77.459999999999994</v>
      </c>
      <c r="D133" s="5">
        <v>74.36</v>
      </c>
      <c r="E133" s="5">
        <v>73.569999999999993</v>
      </c>
      <c r="F133" s="5">
        <v>68.75</v>
      </c>
      <c r="G133" s="5">
        <v>65.739999999999995</v>
      </c>
      <c r="H133" s="5">
        <v>49.59</v>
      </c>
      <c r="I133" s="5">
        <v>43.93</v>
      </c>
      <c r="J133" s="5">
        <v>62.83</v>
      </c>
      <c r="K133" s="5">
        <v>62.6</v>
      </c>
      <c r="L133" s="5">
        <v>69.94</v>
      </c>
      <c r="M133" s="5">
        <v>60.69</v>
      </c>
      <c r="N133" s="5">
        <v>43.34</v>
      </c>
      <c r="O133" s="6">
        <v>45.55</v>
      </c>
      <c r="P133" s="5">
        <v>60.1</v>
      </c>
      <c r="Q133" s="5">
        <v>43.34</v>
      </c>
      <c r="R133" s="5">
        <v>45.63</v>
      </c>
      <c r="S133" s="5">
        <v>45.55</v>
      </c>
    </row>
    <row r="134" spans="1:30" ht="16" x14ac:dyDescent="0.2">
      <c r="A134" s="2" t="s">
        <v>139</v>
      </c>
      <c r="B134" s="5">
        <v>6.89</v>
      </c>
      <c r="C134" s="5">
        <v>3.7</v>
      </c>
      <c r="D134" s="5">
        <v>4.37</v>
      </c>
      <c r="E134" s="5">
        <v>4.6900000000000004</v>
      </c>
      <c r="F134" s="5">
        <v>4.38</v>
      </c>
      <c r="G134" s="5">
        <v>4.2300000000000004</v>
      </c>
      <c r="H134" s="5">
        <v>2.27</v>
      </c>
      <c r="I134" s="5">
        <v>1.9</v>
      </c>
      <c r="J134" s="5">
        <v>3.36</v>
      </c>
      <c r="K134" s="5">
        <v>3.17</v>
      </c>
      <c r="L134" s="5">
        <v>3.83</v>
      </c>
      <c r="M134" s="5">
        <v>2.65</v>
      </c>
      <c r="N134" s="3">
        <v>3</v>
      </c>
      <c r="O134" s="6">
        <v>3.38</v>
      </c>
      <c r="P134" s="5">
        <v>2.79</v>
      </c>
      <c r="Q134" s="3">
        <v>3</v>
      </c>
      <c r="R134" s="5">
        <v>3.33</v>
      </c>
      <c r="S134" s="5">
        <v>3.38</v>
      </c>
    </row>
    <row r="135" spans="1:30" ht="16" x14ac:dyDescent="0.2">
      <c r="A135" s="2" t="s">
        <v>140</v>
      </c>
      <c r="B135" s="5">
        <v>160.25</v>
      </c>
      <c r="C135" s="5">
        <v>126.62</v>
      </c>
      <c r="D135" s="5">
        <v>92.64</v>
      </c>
      <c r="E135" s="5">
        <v>87.75</v>
      </c>
      <c r="F135" s="5">
        <v>108.18</v>
      </c>
      <c r="G135" s="5">
        <v>102.63</v>
      </c>
      <c r="H135" s="5">
        <v>111.98</v>
      </c>
      <c r="I135" s="5">
        <v>133.97</v>
      </c>
      <c r="J135" s="5">
        <v>141.68</v>
      </c>
      <c r="K135" s="5">
        <v>121.9</v>
      </c>
      <c r="L135" s="5">
        <v>160.69</v>
      </c>
      <c r="M135" s="5">
        <v>198.54</v>
      </c>
      <c r="N135" s="5">
        <v>196.95</v>
      </c>
      <c r="O135" s="6">
        <v>200.52</v>
      </c>
      <c r="P135" s="5">
        <v>205.3</v>
      </c>
      <c r="Q135" s="5">
        <v>196.95</v>
      </c>
      <c r="R135" s="5">
        <v>193.5</v>
      </c>
      <c r="S135" s="5">
        <v>200.52</v>
      </c>
    </row>
    <row r="136" spans="1:30" ht="16" x14ac:dyDescent="0.2">
      <c r="A136" s="2" t="s">
        <v>141</v>
      </c>
      <c r="B136" s="3">
        <v>365</v>
      </c>
      <c r="C136" s="3">
        <v>394</v>
      </c>
      <c r="D136" s="3">
        <v>433</v>
      </c>
      <c r="E136" s="3">
        <v>485</v>
      </c>
      <c r="F136" s="3">
        <v>567</v>
      </c>
      <c r="G136" s="3">
        <v>670</v>
      </c>
      <c r="H136" s="3">
        <v>901</v>
      </c>
      <c r="I136" s="3">
        <v>1095</v>
      </c>
      <c r="J136" s="3">
        <v>1386</v>
      </c>
      <c r="K136" s="3">
        <v>1916</v>
      </c>
      <c r="L136" s="3">
        <v>2548</v>
      </c>
      <c r="M136" s="3">
        <v>2992</v>
      </c>
      <c r="N136" s="3">
        <v>3734</v>
      </c>
      <c r="O136" s="4">
        <v>3734</v>
      </c>
      <c r="P136" s="3">
        <v>2992</v>
      </c>
      <c r="Q136" s="3">
        <v>3734</v>
      </c>
      <c r="R136" s="3">
        <v>3734</v>
      </c>
      <c r="S136" s="3">
        <v>3734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-4384435</v>
      </c>
      <c r="C139" s="3">
        <v>-7040000</v>
      </c>
      <c r="D139" s="3">
        <v>14737742</v>
      </c>
      <c r="E139" s="3">
        <v>19791000</v>
      </c>
      <c r="F139" s="3">
        <v>19918000</v>
      </c>
      <c r="G139" s="3">
        <v>19933000</v>
      </c>
      <c r="H139" s="3">
        <v>17297000</v>
      </c>
      <c r="I139" s="3">
        <v>5207000</v>
      </c>
      <c r="J139" s="3">
        <v>29205000</v>
      </c>
      <c r="K139" s="3">
        <v>882000</v>
      </c>
      <c r="L139" s="3">
        <v>-1724000</v>
      </c>
      <c r="M139" s="3">
        <v>-60018000</v>
      </c>
      <c r="N139" s="3">
        <v>147139000</v>
      </c>
      <c r="O139" s="4">
        <v>98865000</v>
      </c>
      <c r="P139" s="3">
        <v>12131000</v>
      </c>
      <c r="Q139" s="3">
        <v>29175000</v>
      </c>
      <c r="R139" s="3">
        <v>45139000</v>
      </c>
      <c r="S139" s="3">
        <v>12420000</v>
      </c>
    </row>
    <row r="140" spans="1:30" ht="16" x14ac:dyDescent="0.2">
      <c r="A140" s="2" t="s">
        <v>143</v>
      </c>
      <c r="B140" s="3">
        <v>7286915</v>
      </c>
      <c r="C140" s="3">
        <v>8094966</v>
      </c>
      <c r="D140" s="3">
        <v>6519250</v>
      </c>
      <c r="E140" s="3">
        <v>5131000</v>
      </c>
      <c r="F140" s="3">
        <v>4317000</v>
      </c>
      <c r="G140" s="3">
        <v>3291000</v>
      </c>
      <c r="H140" s="3">
        <v>3658000</v>
      </c>
      <c r="I140" s="3">
        <v>8041000</v>
      </c>
      <c r="J140" s="3">
        <v>10615000</v>
      </c>
      <c r="K140" s="3">
        <v>11361000</v>
      </c>
      <c r="L140" s="3">
        <v>12475000</v>
      </c>
      <c r="M140" s="3">
        <v>18694000</v>
      </c>
      <c r="N140" s="3">
        <v>24381000</v>
      </c>
      <c r="O140" s="4">
        <v>26585000</v>
      </c>
      <c r="P140" s="3">
        <v>6206000</v>
      </c>
      <c r="Q140" s="3">
        <v>6210000</v>
      </c>
      <c r="R140" s="3">
        <v>6689000</v>
      </c>
      <c r="S140" s="3">
        <v>7480000</v>
      </c>
    </row>
    <row r="141" spans="1:30" ht="16" x14ac:dyDescent="0.2">
      <c r="A141" s="2" t="s">
        <v>144</v>
      </c>
      <c r="B141" s="3">
        <v>4850675</v>
      </c>
      <c r="C141" s="3">
        <v>13406090</v>
      </c>
      <c r="D141" s="3">
        <v>5047472</v>
      </c>
      <c r="E141" s="3">
        <v>-1114000</v>
      </c>
      <c r="F141" s="3">
        <v>5278000</v>
      </c>
      <c r="G141" s="3">
        <v>3021000</v>
      </c>
      <c r="H141" s="3">
        <v>5194000</v>
      </c>
      <c r="I141" s="3">
        <v>20001000</v>
      </c>
      <c r="J141" s="3">
        <v>21885000</v>
      </c>
      <c r="K141" s="3">
        <v>78028000</v>
      </c>
      <c r="L141" s="3">
        <v>128508000</v>
      </c>
      <c r="M141" s="3">
        <v>209101000</v>
      </c>
      <c r="N141" s="3">
        <v>44788000</v>
      </c>
      <c r="O141" s="4">
        <v>144146000</v>
      </c>
      <c r="P141" s="3">
        <v>47002000</v>
      </c>
      <c r="Q141" s="3">
        <v>21369000</v>
      </c>
      <c r="R141" s="3">
        <v>9283000</v>
      </c>
      <c r="S141" s="3">
        <v>66492000</v>
      </c>
    </row>
    <row r="142" spans="1:30" ht="16" x14ac:dyDescent="0.2">
      <c r="A142" s="32" t="s">
        <v>145</v>
      </c>
      <c r="B142" s="30">
        <v>3682675</v>
      </c>
      <c r="C142" s="30">
        <v>3098933</v>
      </c>
      <c r="D142" s="30">
        <v>3421506</v>
      </c>
      <c r="E142" s="30">
        <v>4340000</v>
      </c>
      <c r="F142" s="30">
        <v>5579000</v>
      </c>
      <c r="G142" s="30">
        <v>7263000</v>
      </c>
      <c r="H142" s="30">
        <v>9369000</v>
      </c>
      <c r="I142" s="30">
        <v>15610000</v>
      </c>
      <c r="J142" s="30">
        <v>21879000</v>
      </c>
      <c r="K142" s="30">
        <v>78495000</v>
      </c>
      <c r="L142" s="30">
        <v>133572000</v>
      </c>
      <c r="M142" s="30">
        <v>303331000</v>
      </c>
      <c r="N142" s="30">
        <v>106176000</v>
      </c>
      <c r="O142" s="31">
        <v>126167000</v>
      </c>
      <c r="P142" s="30">
        <v>28204000</v>
      </c>
      <c r="Q142" s="30">
        <v>31722000</v>
      </c>
      <c r="R142" s="30">
        <v>34350000</v>
      </c>
      <c r="S142" s="30">
        <v>31891000</v>
      </c>
    </row>
    <row r="143" spans="1:30" ht="19" x14ac:dyDescent="0.25">
      <c r="A143" s="14" t="s">
        <v>198</v>
      </c>
      <c r="B143" s="21">
        <f t="shared" ref="B143:S143" si="7">B142/B2</f>
        <v>4.2363674164157261E-2</v>
      </c>
      <c r="C143" s="21">
        <f t="shared" si="7"/>
        <v>3.4421915800196441E-2</v>
      </c>
      <c r="D143" s="21">
        <f t="shared" si="7"/>
        <v>2.9816331718696618E-2</v>
      </c>
      <c r="E143" s="21">
        <f t="shared" si="7"/>
        <v>3.1487836553460394E-2</v>
      </c>
      <c r="F143" s="21">
        <f t="shared" si="7"/>
        <v>3.3909740161069749E-2</v>
      </c>
      <c r="G143" s="21">
        <f t="shared" si="7"/>
        <v>3.6701837365835911E-2</v>
      </c>
      <c r="H143" s="21">
        <f t="shared" si="7"/>
        <v>3.4927025666834421E-2</v>
      </c>
      <c r="I143" s="21">
        <f t="shared" si="7"/>
        <v>4.5404568962006758E-2</v>
      </c>
      <c r="J143" s="21">
        <f t="shared" si="7"/>
        <v>5.208442442652142E-2</v>
      </c>
      <c r="K143" s="21">
        <f t="shared" si="7"/>
        <v>0.1478638435745771</v>
      </c>
      <c r="L143" s="21">
        <f t="shared" si="7"/>
        <v>0.19614010510966912</v>
      </c>
      <c r="M143" s="21">
        <f t="shared" si="7"/>
        <v>0.35132925093324963</v>
      </c>
      <c r="N143" s="21">
        <f t="shared" si="7"/>
        <v>8.9228403232109316E-2</v>
      </c>
      <c r="O143" s="21">
        <f t="shared" si="7"/>
        <v>9.2393214718822683E-2</v>
      </c>
      <c r="P143" s="21">
        <f t="shared" si="7"/>
        <v>9.0468767040679507E-2</v>
      </c>
      <c r="Q143" s="21">
        <f t="shared" si="7"/>
        <v>9.4370831374835637E-2</v>
      </c>
      <c r="R143" s="21">
        <f t="shared" si="7"/>
        <v>0.10013321945062281</v>
      </c>
      <c r="S143" s="21">
        <f t="shared" si="7"/>
        <v>8.5132339397498702E-2</v>
      </c>
      <c r="T143" s="12"/>
      <c r="U143" s="12"/>
      <c r="V143" s="12"/>
      <c r="W143" s="12"/>
      <c r="X143" s="12"/>
      <c r="Y143" s="12"/>
      <c r="Z143" s="12"/>
      <c r="AA143" s="13"/>
      <c r="AB143" s="13"/>
      <c r="AC143" s="13"/>
      <c r="AD143" s="13"/>
    </row>
    <row r="144" spans="1:30" ht="16" x14ac:dyDescent="0.2">
      <c r="A144" s="2" t="s">
        <v>146</v>
      </c>
      <c r="B144" s="3">
        <v>-1088377</v>
      </c>
      <c r="C144" s="3">
        <v>-2490684</v>
      </c>
      <c r="D144" s="3">
        <v>2603796</v>
      </c>
      <c r="E144" s="3">
        <v>-5957000</v>
      </c>
      <c r="F144" s="3">
        <v>-4185000</v>
      </c>
      <c r="G144" s="3">
        <v>-6098000</v>
      </c>
      <c r="H144" s="3">
        <v>-6023000</v>
      </c>
      <c r="I144" s="3">
        <v>2639000</v>
      </c>
      <c r="J144" s="3">
        <v>-2448000</v>
      </c>
      <c r="K144" s="3">
        <v>-7004000</v>
      </c>
      <c r="L144" s="3">
        <v>-15857000</v>
      </c>
      <c r="M144" s="3">
        <v>-82009000</v>
      </c>
      <c r="N144" s="3">
        <v>25565000</v>
      </c>
      <c r="O144" s="4">
        <v>-39118000</v>
      </c>
      <c r="P144" s="3">
        <v>3923000</v>
      </c>
      <c r="Q144" s="3">
        <v>-8303000</v>
      </c>
      <c r="R144" s="3">
        <v>-8805000</v>
      </c>
      <c r="S144" s="3">
        <v>-25933000</v>
      </c>
    </row>
    <row r="145" spans="1:19" ht="16" x14ac:dyDescent="0.2">
      <c r="A145" s="2" t="s">
        <v>147</v>
      </c>
      <c r="B145" s="3" t="s">
        <v>24</v>
      </c>
      <c r="C145" s="3">
        <v>2800396</v>
      </c>
      <c r="D145" s="3" t="s">
        <v>24</v>
      </c>
      <c r="E145" s="3" t="s">
        <v>24</v>
      </c>
      <c r="F145" s="3" t="s">
        <v>24</v>
      </c>
      <c r="G145" s="3" t="s">
        <v>24</v>
      </c>
      <c r="H145" s="3">
        <v>520000</v>
      </c>
      <c r="I145" s="3">
        <v>-23000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2256377</v>
      </c>
      <c r="C146" s="3">
        <v>9997445</v>
      </c>
      <c r="D146" s="3">
        <v>-977830</v>
      </c>
      <c r="E146" s="3">
        <v>503000</v>
      </c>
      <c r="F146" s="3">
        <v>3884000</v>
      </c>
      <c r="G146" s="3">
        <v>1856000</v>
      </c>
      <c r="H146" s="3">
        <v>1328000</v>
      </c>
      <c r="I146" s="3">
        <v>1775000</v>
      </c>
      <c r="J146" s="3">
        <v>2454000</v>
      </c>
      <c r="K146" s="3">
        <v>6537000</v>
      </c>
      <c r="L146" s="3">
        <v>10793000</v>
      </c>
      <c r="M146" s="3">
        <v>-12221000</v>
      </c>
      <c r="N146" s="3">
        <v>-86953000</v>
      </c>
      <c r="O146" s="4">
        <v>57097000</v>
      </c>
      <c r="P146" s="3">
        <v>14875000</v>
      </c>
      <c r="Q146" s="3">
        <v>-2050000</v>
      </c>
      <c r="R146" s="3">
        <v>-16262000</v>
      </c>
      <c r="S146" s="3">
        <v>60534000</v>
      </c>
    </row>
    <row r="147" spans="1:19" ht="16" x14ac:dyDescent="0.2">
      <c r="A147" s="2" t="s">
        <v>149</v>
      </c>
      <c r="B147" s="3">
        <v>-7021630</v>
      </c>
      <c r="C147" s="3">
        <v>2863765</v>
      </c>
      <c r="D147" s="3">
        <v>212749</v>
      </c>
      <c r="E147" s="3">
        <v>8618000</v>
      </c>
      <c r="F147" s="3">
        <v>5919000</v>
      </c>
      <c r="G147" s="3">
        <v>20200000</v>
      </c>
      <c r="H147" s="3">
        <v>-8224000</v>
      </c>
      <c r="I147" s="3">
        <v>-14759000</v>
      </c>
      <c r="J147" s="3">
        <v>2170000</v>
      </c>
      <c r="K147" s="3">
        <v>-24598000</v>
      </c>
      <c r="L147" s="3">
        <v>-100778000</v>
      </c>
      <c r="M147" s="3">
        <v>-43283000</v>
      </c>
      <c r="N147" s="3">
        <v>19053000</v>
      </c>
      <c r="O147" s="4">
        <v>-111242000</v>
      </c>
      <c r="P147" s="3">
        <v>-24438000</v>
      </c>
      <c r="Q147" s="3">
        <v>74366000</v>
      </c>
      <c r="R147" s="3">
        <v>-117434000</v>
      </c>
      <c r="S147" s="3">
        <v>-43736000</v>
      </c>
    </row>
    <row r="148" spans="1:19" ht="16" x14ac:dyDescent="0.2">
      <c r="A148" s="2" t="s">
        <v>150</v>
      </c>
      <c r="B148" s="3">
        <v>1768134</v>
      </c>
      <c r="C148" s="3">
        <v>1463031</v>
      </c>
      <c r="D148" s="3">
        <v>-6078875</v>
      </c>
      <c r="E148" s="3">
        <v>-4411000</v>
      </c>
      <c r="F148" s="3">
        <v>-8389000</v>
      </c>
      <c r="G148" s="3">
        <v>4244000</v>
      </c>
      <c r="H148" s="3">
        <v>-13297000</v>
      </c>
      <c r="I148" s="3">
        <v>-35305000</v>
      </c>
      <c r="J148" s="3">
        <v>-67643000</v>
      </c>
      <c r="K148" s="3">
        <v>-38830000</v>
      </c>
      <c r="L148" s="3">
        <v>-107762000</v>
      </c>
      <c r="M148" s="3">
        <v>-205769000</v>
      </c>
      <c r="N148" s="3">
        <v>-73228000</v>
      </c>
      <c r="O148" s="4">
        <v>-95186000</v>
      </c>
      <c r="P148" s="3">
        <v>-34799000</v>
      </c>
      <c r="Q148" s="3">
        <v>41818000</v>
      </c>
      <c r="R148" s="3">
        <v>-50431000</v>
      </c>
      <c r="S148" s="3">
        <v>-51774000</v>
      </c>
    </row>
    <row r="149" spans="1:19" ht="16" x14ac:dyDescent="0.2">
      <c r="A149" s="2" t="s">
        <v>151</v>
      </c>
      <c r="B149" s="3">
        <v>-4007939</v>
      </c>
      <c r="C149" s="3">
        <v>1327801</v>
      </c>
      <c r="D149" s="3">
        <v>-62149</v>
      </c>
      <c r="E149" s="3">
        <v>-711000</v>
      </c>
      <c r="F149" s="3">
        <v>-9371000</v>
      </c>
      <c r="G149" s="3">
        <v>3140000</v>
      </c>
      <c r="H149" s="3">
        <v>-18668000</v>
      </c>
      <c r="I149" s="3">
        <v>-11746000</v>
      </c>
      <c r="J149" s="3">
        <v>14804000</v>
      </c>
      <c r="K149" s="3">
        <v>-4903000</v>
      </c>
      <c r="L149" s="3">
        <v>-52156000</v>
      </c>
      <c r="M149" s="3">
        <v>-18272000</v>
      </c>
      <c r="N149" s="3">
        <v>-95987000</v>
      </c>
      <c r="O149" s="4">
        <v>-92463000</v>
      </c>
      <c r="P149" s="3">
        <v>-19158000</v>
      </c>
      <c r="Q149" s="3">
        <v>-29720000</v>
      </c>
      <c r="R149" s="3">
        <v>-15811000</v>
      </c>
      <c r="S149" s="3">
        <v>-27774000</v>
      </c>
    </row>
    <row r="150" spans="1:19" ht="16" x14ac:dyDescent="0.2">
      <c r="A150" s="2" t="s">
        <v>152</v>
      </c>
      <c r="B150" s="3">
        <v>-1715403</v>
      </c>
      <c r="C150" s="3">
        <v>-373709</v>
      </c>
      <c r="D150" s="3">
        <v>-625911</v>
      </c>
      <c r="E150" s="3">
        <v>-569000</v>
      </c>
      <c r="F150" s="3">
        <v>-1080000</v>
      </c>
      <c r="G150" s="3">
        <v>-8579000</v>
      </c>
      <c r="H150" s="3">
        <v>-29069000</v>
      </c>
      <c r="I150" s="3">
        <v>-9007000</v>
      </c>
      <c r="J150" s="3">
        <v>-12739000</v>
      </c>
      <c r="K150" s="3">
        <v>-9845000</v>
      </c>
      <c r="L150" s="3">
        <v>-14885000</v>
      </c>
      <c r="M150" s="3">
        <v>-40158000</v>
      </c>
      <c r="N150" s="3">
        <v>-52207000</v>
      </c>
      <c r="O150" s="4">
        <v>-98809000</v>
      </c>
      <c r="P150" s="3">
        <v>-15183000</v>
      </c>
      <c r="Q150" s="3">
        <v>-34336000</v>
      </c>
      <c r="R150" s="3">
        <v>-64348000</v>
      </c>
      <c r="S150" s="3">
        <v>15058000</v>
      </c>
    </row>
    <row r="151" spans="1:19" ht="16" x14ac:dyDescent="0.2">
      <c r="A151" s="2" t="s">
        <v>153</v>
      </c>
      <c r="B151" s="3">
        <v>-3246517</v>
      </c>
      <c r="C151" s="3">
        <v>109051</v>
      </c>
      <c r="D151" s="3">
        <v>2724450</v>
      </c>
      <c r="E151" s="3">
        <v>5559000</v>
      </c>
      <c r="F151" s="3">
        <v>9456000</v>
      </c>
      <c r="G151" s="3">
        <v>5868000</v>
      </c>
      <c r="H151" s="3">
        <v>17584000</v>
      </c>
      <c r="I151" s="3">
        <v>39000</v>
      </c>
      <c r="J151" s="3">
        <v>13506000</v>
      </c>
      <c r="K151" s="3">
        <v>4967000</v>
      </c>
      <c r="L151" s="3">
        <v>8886000</v>
      </c>
      <c r="M151" s="3">
        <v>45301000</v>
      </c>
      <c r="N151" s="3">
        <v>80757000</v>
      </c>
      <c r="O151" s="4">
        <v>20212000</v>
      </c>
      <c r="P151" s="3">
        <v>4115000</v>
      </c>
      <c r="Q151" s="3">
        <v>52073000</v>
      </c>
      <c r="R151" s="3">
        <v>-37043000</v>
      </c>
      <c r="S151" s="3">
        <v>1067000</v>
      </c>
    </row>
    <row r="152" spans="1:19" ht="16" x14ac:dyDescent="0.2">
      <c r="A152" s="2" t="s">
        <v>154</v>
      </c>
      <c r="B152" s="3">
        <v>180095</v>
      </c>
      <c r="C152" s="3">
        <v>337591</v>
      </c>
      <c r="D152" s="3">
        <v>4255234</v>
      </c>
      <c r="E152" s="3">
        <v>8750000</v>
      </c>
      <c r="F152" s="3">
        <v>15303000</v>
      </c>
      <c r="G152" s="3">
        <v>15527000</v>
      </c>
      <c r="H152" s="3">
        <v>35226000</v>
      </c>
      <c r="I152" s="3">
        <v>41260000</v>
      </c>
      <c r="J152" s="3">
        <v>54242000</v>
      </c>
      <c r="K152" s="3">
        <v>24013000</v>
      </c>
      <c r="L152" s="3">
        <v>65139000</v>
      </c>
      <c r="M152" s="3">
        <v>175615000</v>
      </c>
      <c r="N152" s="3">
        <v>159718000</v>
      </c>
      <c r="O152" s="4">
        <v>155004000</v>
      </c>
      <c r="P152" s="3">
        <v>40587000</v>
      </c>
      <c r="Q152" s="3">
        <v>44531000</v>
      </c>
      <c r="R152" s="3">
        <v>50199000</v>
      </c>
      <c r="S152" s="3">
        <v>19687000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731525</v>
      </c>
      <c r="C154" s="3">
        <v>17324821</v>
      </c>
      <c r="D154" s="3">
        <v>26517213</v>
      </c>
      <c r="E154" s="3">
        <v>32426000</v>
      </c>
      <c r="F154" s="3">
        <v>35432000</v>
      </c>
      <c r="G154" s="3">
        <v>46445000</v>
      </c>
      <c r="H154" s="3">
        <v>17925000</v>
      </c>
      <c r="I154" s="3">
        <v>18490000</v>
      </c>
      <c r="J154" s="3">
        <v>63875000</v>
      </c>
      <c r="K154" s="3">
        <v>65673000</v>
      </c>
      <c r="L154" s="3">
        <v>38481000</v>
      </c>
      <c r="M154" s="3">
        <v>124494000</v>
      </c>
      <c r="N154" s="3">
        <v>235361000</v>
      </c>
      <c r="O154" s="4">
        <v>158354000</v>
      </c>
      <c r="P154" s="3">
        <v>40901000</v>
      </c>
      <c r="Q154" s="3">
        <v>131120000</v>
      </c>
      <c r="R154" s="3">
        <v>-56323000</v>
      </c>
      <c r="S154" s="3">
        <v>42656000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30972</v>
      </c>
      <c r="C156" s="3">
        <v>149400</v>
      </c>
      <c r="D156" s="3">
        <v>45511</v>
      </c>
      <c r="E156" s="3">
        <v>34000</v>
      </c>
      <c r="F156" s="3">
        <v>10000</v>
      </c>
      <c r="G156" s="3">
        <v>40000</v>
      </c>
      <c r="H156" s="3">
        <v>42000</v>
      </c>
      <c r="I156" s="3">
        <v>24000</v>
      </c>
      <c r="J156" s="3" t="s">
        <v>24</v>
      </c>
      <c r="K156" s="3" t="s">
        <v>24</v>
      </c>
      <c r="L156" s="3">
        <v>95000</v>
      </c>
      <c r="M156" s="3">
        <v>43000</v>
      </c>
      <c r="N156" s="3">
        <v>287000</v>
      </c>
      <c r="O156" s="4">
        <v>199000</v>
      </c>
      <c r="P156" s="3">
        <v>135000</v>
      </c>
      <c r="Q156" s="3">
        <v>61000</v>
      </c>
      <c r="R156" s="3" t="s">
        <v>24</v>
      </c>
      <c r="S156" s="3">
        <v>3000</v>
      </c>
    </row>
    <row r="157" spans="1:19" ht="16" x14ac:dyDescent="0.2">
      <c r="A157" s="2" t="s">
        <v>159</v>
      </c>
      <c r="B157" s="3">
        <v>30972</v>
      </c>
      <c r="C157" s="3">
        <v>149400</v>
      </c>
      <c r="D157" s="3">
        <v>45511</v>
      </c>
      <c r="E157" s="3">
        <v>34000</v>
      </c>
      <c r="F157" s="3">
        <v>10000</v>
      </c>
      <c r="G157" s="3">
        <v>40000</v>
      </c>
      <c r="H157" s="3">
        <v>42000</v>
      </c>
      <c r="I157" s="3">
        <v>24000</v>
      </c>
      <c r="J157" s="3" t="s">
        <v>24</v>
      </c>
      <c r="K157" s="3" t="s">
        <v>24</v>
      </c>
      <c r="L157" s="3">
        <v>95000</v>
      </c>
      <c r="M157" s="3">
        <v>43000</v>
      </c>
      <c r="N157" s="3">
        <v>287000</v>
      </c>
      <c r="O157" s="4">
        <v>199000</v>
      </c>
      <c r="P157" s="3">
        <v>135000</v>
      </c>
      <c r="Q157" s="3">
        <v>61000</v>
      </c>
      <c r="R157" s="3" t="s">
        <v>24</v>
      </c>
      <c r="S157" s="3">
        <v>3000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-4502674</v>
      </c>
      <c r="C159" s="3">
        <v>-2267549</v>
      </c>
      <c r="D159" s="3">
        <v>-1762969</v>
      </c>
      <c r="E159" s="3">
        <v>-2106000</v>
      </c>
      <c r="F159" s="3">
        <v>-2688000</v>
      </c>
      <c r="G159" s="3">
        <v>-6504000</v>
      </c>
      <c r="H159" s="3">
        <v>-8452000</v>
      </c>
      <c r="I159" s="3">
        <v>-11443000</v>
      </c>
      <c r="J159" s="3">
        <v>-11697000</v>
      </c>
      <c r="K159" s="3">
        <v>-16343000</v>
      </c>
      <c r="L159" s="3">
        <v>-72870000</v>
      </c>
      <c r="M159" s="3">
        <v>-50278000</v>
      </c>
      <c r="N159" s="3">
        <v>-56109000</v>
      </c>
      <c r="O159" s="4">
        <v>-47995000</v>
      </c>
      <c r="P159" s="3">
        <v>-14460000</v>
      </c>
      <c r="Q159" s="3">
        <v>-11698000</v>
      </c>
      <c r="R159" s="3">
        <v>-8638000</v>
      </c>
      <c r="S159" s="3">
        <v>-13199000</v>
      </c>
    </row>
    <row r="160" spans="1:19" ht="16" x14ac:dyDescent="0.2">
      <c r="A160" s="2" t="s">
        <v>162</v>
      </c>
      <c r="B160" s="3">
        <v>-4023691</v>
      </c>
      <c r="C160" s="3">
        <v>-1854083</v>
      </c>
      <c r="D160" s="3">
        <v>-1333986</v>
      </c>
      <c r="E160" s="3">
        <v>-1783000</v>
      </c>
      <c r="F160" s="3">
        <v>-2505000</v>
      </c>
      <c r="G160" s="3">
        <v>-6003000</v>
      </c>
      <c r="H160" s="3">
        <v>-4957000</v>
      </c>
      <c r="I160" s="3">
        <v>-10419000</v>
      </c>
      <c r="J160" s="3">
        <v>-11139000</v>
      </c>
      <c r="K160" s="3">
        <v>-15939000</v>
      </c>
      <c r="L160" s="3">
        <v>-72629000</v>
      </c>
      <c r="M160" s="3">
        <v>-49886000</v>
      </c>
      <c r="N160" s="3">
        <v>-55802000</v>
      </c>
      <c r="O160" s="4">
        <v>-47605000</v>
      </c>
      <c r="P160" s="3">
        <v>-14371000</v>
      </c>
      <c r="Q160" s="3">
        <v>-11584000</v>
      </c>
      <c r="R160" s="3">
        <v>-8513000</v>
      </c>
      <c r="S160" s="3">
        <v>-13137000</v>
      </c>
    </row>
    <row r="161" spans="1:19" ht="16" x14ac:dyDescent="0.2">
      <c r="A161" s="2" t="s">
        <v>163</v>
      </c>
      <c r="B161" s="3">
        <v>-478983</v>
      </c>
      <c r="C161" s="3">
        <v>-413466</v>
      </c>
      <c r="D161" s="3">
        <v>-428983</v>
      </c>
      <c r="E161" s="3">
        <v>-323000</v>
      </c>
      <c r="F161" s="3">
        <v>-183000</v>
      </c>
      <c r="G161" s="3">
        <v>-501000</v>
      </c>
      <c r="H161" s="3">
        <v>-3495000</v>
      </c>
      <c r="I161" s="3">
        <v>-1024000</v>
      </c>
      <c r="J161" s="3">
        <v>-558000</v>
      </c>
      <c r="K161" s="3">
        <v>-404000</v>
      </c>
      <c r="L161" s="3">
        <v>-241000</v>
      </c>
      <c r="M161" s="3">
        <v>-392000</v>
      </c>
      <c r="N161" s="3">
        <v>-307000</v>
      </c>
      <c r="O161" s="4">
        <v>-390000</v>
      </c>
      <c r="P161" s="3">
        <v>-89000</v>
      </c>
      <c r="Q161" s="3">
        <v>-114000</v>
      </c>
      <c r="R161" s="3">
        <v>-125000</v>
      </c>
      <c r="S161" s="3">
        <v>-62000</v>
      </c>
    </row>
    <row r="162" spans="1:19" ht="16" x14ac:dyDescent="0.2">
      <c r="A162" s="2" t="s">
        <v>164</v>
      </c>
      <c r="B162" s="3" t="s">
        <v>24</v>
      </c>
      <c r="C162" s="3">
        <v>-5479493</v>
      </c>
      <c r="D162" s="3">
        <v>3398513</v>
      </c>
      <c r="E162" s="3">
        <v>-19732000</v>
      </c>
      <c r="F162" s="3">
        <v>-21903000</v>
      </c>
      <c r="G162" s="3">
        <v>-18359000</v>
      </c>
      <c r="H162" s="3">
        <v>8865000</v>
      </c>
      <c r="I162" s="3">
        <v>41130000</v>
      </c>
      <c r="J162" s="3">
        <v>6827000</v>
      </c>
      <c r="K162" s="3">
        <v>-224394000</v>
      </c>
      <c r="L162" s="3">
        <v>-276683000</v>
      </c>
      <c r="M162" s="3">
        <v>325184000</v>
      </c>
      <c r="N162" s="3">
        <v>-773041000</v>
      </c>
      <c r="O162" s="4">
        <v>-482103000</v>
      </c>
      <c r="P162" s="3">
        <v>-88890000</v>
      </c>
      <c r="Q162" s="3">
        <v>-517329000</v>
      </c>
      <c r="R162" s="3">
        <v>-64036000</v>
      </c>
      <c r="S162" s="3">
        <v>188152000</v>
      </c>
    </row>
    <row r="163" spans="1:19" ht="16" x14ac:dyDescent="0.2">
      <c r="A163" s="2" t="s">
        <v>165</v>
      </c>
      <c r="B163" s="3" t="s">
        <v>24</v>
      </c>
      <c r="C163" s="3">
        <v>6000000</v>
      </c>
      <c r="D163" s="3">
        <v>9640544</v>
      </c>
      <c r="E163" s="3">
        <v>9380000</v>
      </c>
      <c r="F163" s="3">
        <v>10997000</v>
      </c>
      <c r="G163" s="3">
        <v>44105000</v>
      </c>
      <c r="H163" s="3">
        <v>64951000</v>
      </c>
      <c r="I163" s="3">
        <v>61080000</v>
      </c>
      <c r="J163" s="3">
        <v>11158000</v>
      </c>
      <c r="K163" s="3">
        <v>130083000</v>
      </c>
      <c r="L163" s="3">
        <v>379839000</v>
      </c>
      <c r="M163" s="3">
        <v>733163000</v>
      </c>
      <c r="N163" s="3">
        <v>72138000</v>
      </c>
      <c r="O163" s="4">
        <v>443747000</v>
      </c>
      <c r="P163" s="3">
        <v>6012000</v>
      </c>
      <c r="Q163" s="3">
        <v>56653000</v>
      </c>
      <c r="R163" s="3">
        <v>81088000</v>
      </c>
      <c r="S163" s="3">
        <v>299994000</v>
      </c>
    </row>
    <row r="164" spans="1:19" ht="16" x14ac:dyDescent="0.2">
      <c r="A164" s="2" t="s">
        <v>166</v>
      </c>
      <c r="B164" s="3" t="s">
        <v>24</v>
      </c>
      <c r="C164" s="3">
        <v>-11479493</v>
      </c>
      <c r="D164" s="3">
        <v>-6242031</v>
      </c>
      <c r="E164" s="3">
        <v>-29112000</v>
      </c>
      <c r="F164" s="3">
        <v>-32900000</v>
      </c>
      <c r="G164" s="3">
        <v>-62464000</v>
      </c>
      <c r="H164" s="3">
        <v>-56086000</v>
      </c>
      <c r="I164" s="3">
        <v>-19950000</v>
      </c>
      <c r="J164" s="3">
        <v>-4331000</v>
      </c>
      <c r="K164" s="3">
        <v>-354477000</v>
      </c>
      <c r="L164" s="3">
        <v>-656522000</v>
      </c>
      <c r="M164" s="3">
        <v>-407979000</v>
      </c>
      <c r="N164" s="3">
        <v>-845179000</v>
      </c>
      <c r="O164" s="4">
        <v>-925850000</v>
      </c>
      <c r="P164" s="3">
        <v>-94902000</v>
      </c>
      <c r="Q164" s="3">
        <v>-573982000</v>
      </c>
      <c r="R164" s="3">
        <v>-145124000</v>
      </c>
      <c r="S164" s="3">
        <v>-111842000</v>
      </c>
    </row>
    <row r="165" spans="1:19" ht="16" x14ac:dyDescent="0.2">
      <c r="A165" s="2" t="s">
        <v>167</v>
      </c>
      <c r="B165" s="3" t="s">
        <v>24</v>
      </c>
      <c r="C165" s="3" t="s">
        <v>24</v>
      </c>
      <c r="D165" s="3" t="s">
        <v>24</v>
      </c>
      <c r="E165" s="3">
        <v>-1258000</v>
      </c>
      <c r="F165" s="3" t="s">
        <v>24</v>
      </c>
      <c r="G165" s="3">
        <v>-11186000</v>
      </c>
      <c r="H165" s="3">
        <v>-3500000</v>
      </c>
      <c r="I165" s="3">
        <v>-10629000</v>
      </c>
      <c r="J165" s="3">
        <v>-4990000</v>
      </c>
      <c r="K165" s="3" t="s">
        <v>24</v>
      </c>
      <c r="L165" s="3">
        <v>-7068000</v>
      </c>
      <c r="M165" s="3">
        <v>-22393000</v>
      </c>
      <c r="N165" s="3">
        <v>-2104000</v>
      </c>
      <c r="O165" s="4">
        <v>-21026000</v>
      </c>
      <c r="P165" s="3" t="s">
        <v>24</v>
      </c>
      <c r="Q165" s="3" t="s">
        <v>24</v>
      </c>
      <c r="R165" s="3" t="s">
        <v>24</v>
      </c>
      <c r="S165" s="3">
        <v>-21026000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-1258000</v>
      </c>
      <c r="F167" s="3" t="s">
        <v>24</v>
      </c>
      <c r="G167" s="3">
        <v>-11186000</v>
      </c>
      <c r="H167" s="3">
        <v>-3500000</v>
      </c>
      <c r="I167" s="3">
        <v>-10629000</v>
      </c>
      <c r="J167" s="3">
        <v>-4990000</v>
      </c>
      <c r="K167" s="3" t="s">
        <v>24</v>
      </c>
      <c r="L167" s="3">
        <v>-7068000</v>
      </c>
      <c r="M167" s="3">
        <v>-22393000</v>
      </c>
      <c r="N167" s="3">
        <v>-2104000</v>
      </c>
      <c r="O167" s="4">
        <v>-21026000</v>
      </c>
      <c r="P167" s="3" t="s">
        <v>24</v>
      </c>
      <c r="Q167" s="3" t="s">
        <v>24</v>
      </c>
      <c r="R167" s="3" t="s">
        <v>24</v>
      </c>
      <c r="S167" s="3">
        <v>-21026000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1577</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-4471702</v>
      </c>
      <c r="C171" s="3">
        <v>-7596065</v>
      </c>
      <c r="D171" s="3">
        <v>1681055</v>
      </c>
      <c r="E171" s="3">
        <v>-23062000</v>
      </c>
      <c r="F171" s="3">
        <v>-24581000</v>
      </c>
      <c r="G171" s="3">
        <v>-36009000</v>
      </c>
      <c r="H171" s="3">
        <v>-3045000</v>
      </c>
      <c r="I171" s="3">
        <v>19082000</v>
      </c>
      <c r="J171" s="3">
        <v>-9860000</v>
      </c>
      <c r="K171" s="3">
        <v>-240737000</v>
      </c>
      <c r="L171" s="3">
        <v>-356526000</v>
      </c>
      <c r="M171" s="3">
        <v>252556000</v>
      </c>
      <c r="N171" s="3">
        <v>-830967000</v>
      </c>
      <c r="O171" s="4">
        <v>-550925000</v>
      </c>
      <c r="P171" s="3">
        <v>-103215000</v>
      </c>
      <c r="Q171" s="3">
        <v>-528966000</v>
      </c>
      <c r="R171" s="3">
        <v>-72674000</v>
      </c>
      <c r="S171" s="3">
        <v>153930000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v>-9736</v>
      </c>
      <c r="E173" s="3">
        <v>-34000</v>
      </c>
      <c r="F173" s="3">
        <v>-36000</v>
      </c>
      <c r="G173" s="3">
        <v>-80000</v>
      </c>
      <c r="H173" s="3">
        <v>-107000</v>
      </c>
      <c r="I173" s="3">
        <v>-34000</v>
      </c>
      <c r="J173" s="3" t="s">
        <v>24</v>
      </c>
      <c r="K173" s="3" t="s">
        <v>24</v>
      </c>
      <c r="L173" s="3" t="s">
        <v>24</v>
      </c>
      <c r="M173" s="3" t="s">
        <v>24</v>
      </c>
      <c r="N173" s="3">
        <v>673769000</v>
      </c>
      <c r="O173" s="4">
        <v>673769000</v>
      </c>
      <c r="P173" s="3" t="s">
        <v>24</v>
      </c>
      <c r="Q173" s="3">
        <v>673769000</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v>673769000</v>
      </c>
      <c r="O174" s="4">
        <v>673769000</v>
      </c>
      <c r="P174" s="3" t="s">
        <v>24</v>
      </c>
      <c r="Q174" s="3">
        <v>673769000</v>
      </c>
      <c r="R174" s="3" t="s">
        <v>24</v>
      </c>
      <c r="S174" s="3" t="s">
        <v>24</v>
      </c>
    </row>
    <row r="175" spans="1:19" ht="16" x14ac:dyDescent="0.2">
      <c r="A175" s="2" t="s">
        <v>176</v>
      </c>
      <c r="B175" s="3" t="s">
        <v>24</v>
      </c>
      <c r="C175" s="3" t="s">
        <v>24</v>
      </c>
      <c r="D175" s="3">
        <v>-9736</v>
      </c>
      <c r="E175" s="3">
        <v>-34000</v>
      </c>
      <c r="F175" s="3">
        <v>-36000</v>
      </c>
      <c r="G175" s="3">
        <v>-80000</v>
      </c>
      <c r="H175" s="3">
        <v>-107000</v>
      </c>
      <c r="I175" s="3">
        <v>-34000</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t="s">
        <v>24</v>
      </c>
      <c r="C176" s="3">
        <v>-32498856</v>
      </c>
      <c r="D176" s="3">
        <v>-19995950</v>
      </c>
      <c r="E176" s="3">
        <v>-25000000</v>
      </c>
      <c r="F176" s="3">
        <v>-22442000</v>
      </c>
      <c r="G176" s="3">
        <v>-7556000</v>
      </c>
      <c r="H176" s="3">
        <v>-33746000</v>
      </c>
      <c r="I176" s="3" t="s">
        <v>24</v>
      </c>
      <c r="J176" s="3">
        <v>233993000</v>
      </c>
      <c r="K176" s="3" t="s">
        <v>24</v>
      </c>
      <c r="L176" s="3">
        <v>306779000</v>
      </c>
      <c r="M176" s="3">
        <v>105514000</v>
      </c>
      <c r="N176" s="3">
        <v>-74000</v>
      </c>
      <c r="O176" s="4">
        <v>94806000</v>
      </c>
      <c r="P176" s="3" t="s">
        <v>24</v>
      </c>
      <c r="Q176" s="3" t="s">
        <v>24</v>
      </c>
      <c r="R176" s="3">
        <v>33650000</v>
      </c>
      <c r="S176" s="3">
        <v>61156000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v>233993000</v>
      </c>
      <c r="K177" s="3" t="s">
        <v>24</v>
      </c>
      <c r="L177" s="3">
        <v>306779000</v>
      </c>
      <c r="M177" s="3">
        <v>105514000</v>
      </c>
      <c r="N177" s="3" t="s">
        <v>24</v>
      </c>
      <c r="O177" s="4">
        <v>94806000</v>
      </c>
      <c r="P177" s="3" t="s">
        <v>24</v>
      </c>
      <c r="Q177" s="3" t="s">
        <v>24</v>
      </c>
      <c r="R177" s="3">
        <v>33650000</v>
      </c>
      <c r="S177" s="3">
        <v>61156000</v>
      </c>
    </row>
    <row r="178" spans="1:1022 1027:2048 2053:3060 3074:4086 4100:5112 5126:6138 6152:7164 7178:8190 8204:9216 9230:10237 10242:11263 11268:12275 12289:13301 13315:14327 14341:15353 15367:16379" ht="16" x14ac:dyDescent="0.2">
      <c r="A178" s="2" t="s">
        <v>179</v>
      </c>
      <c r="B178" s="3" t="s">
        <v>24</v>
      </c>
      <c r="C178" s="3">
        <v>-32498856</v>
      </c>
      <c r="D178" s="3">
        <v>-19995950</v>
      </c>
      <c r="E178" s="3">
        <v>-25000000</v>
      </c>
      <c r="F178" s="3">
        <v>-22442000</v>
      </c>
      <c r="G178" s="3">
        <v>-7556000</v>
      </c>
      <c r="H178" s="3">
        <v>-33746000</v>
      </c>
      <c r="I178" s="3" t="s">
        <v>24</v>
      </c>
      <c r="J178" s="3" t="s">
        <v>24</v>
      </c>
      <c r="K178" s="3" t="s">
        <v>24</v>
      </c>
      <c r="L178" s="3" t="s">
        <v>24</v>
      </c>
      <c r="M178" s="3" t="s">
        <v>24</v>
      </c>
      <c r="N178" s="3">
        <v>-74000</v>
      </c>
      <c r="O178" s="4" t="s">
        <v>24</v>
      </c>
      <c r="P178" s="3" t="s">
        <v>24</v>
      </c>
      <c r="Q178" s="3" t="s">
        <v>24</v>
      </c>
      <c r="R178" s="3" t="s">
        <v>24</v>
      </c>
      <c r="S178" s="3" t="s">
        <v>24</v>
      </c>
    </row>
    <row r="179" spans="1:1022 1027:2048 2053:3060 3074:4086 4100:5112 5126:6138 6152:7164 7178:8190 8204:9216 9230:10237 10242:11263 11268:12275 12289:13301 13315:14327 14341:15353 15367:16379" ht="16" x14ac:dyDescent="0.2">
      <c r="A179" s="2" t="s">
        <v>180</v>
      </c>
      <c r="B179" s="3">
        <v>929393</v>
      </c>
      <c r="C179" s="3">
        <v>1376613</v>
      </c>
      <c r="D179" s="3">
        <v>6642270</v>
      </c>
      <c r="E179" s="3">
        <v>21845000</v>
      </c>
      <c r="F179" s="3">
        <v>17638000</v>
      </c>
      <c r="G179" s="3">
        <v>8239000</v>
      </c>
      <c r="H179" s="3">
        <v>-808000</v>
      </c>
      <c r="I179" s="3">
        <v>-3820000</v>
      </c>
      <c r="J179" s="3">
        <v>-14645000</v>
      </c>
      <c r="K179" s="3">
        <v>-3937000</v>
      </c>
      <c r="L179" s="3">
        <v>-7514000</v>
      </c>
      <c r="M179" s="3">
        <v>-279695000</v>
      </c>
      <c r="N179" s="3">
        <v>-75595000</v>
      </c>
      <c r="O179" s="4">
        <v>-115828000</v>
      </c>
      <c r="P179" s="3">
        <v>-72000</v>
      </c>
      <c r="Q179" s="3">
        <v>-73204000</v>
      </c>
      <c r="R179" s="3">
        <v>4340000</v>
      </c>
      <c r="S179" s="3">
        <v>-46892000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929393</v>
      </c>
      <c r="C181" s="3">
        <v>-31122243</v>
      </c>
      <c r="D181" s="3">
        <v>-13363416</v>
      </c>
      <c r="E181" s="3">
        <v>-3189000</v>
      </c>
      <c r="F181" s="3">
        <v>-4840000</v>
      </c>
      <c r="G181" s="3">
        <v>603000</v>
      </c>
      <c r="H181" s="3">
        <v>-34661000</v>
      </c>
      <c r="I181" s="3">
        <v>-3854000</v>
      </c>
      <c r="J181" s="3">
        <v>219348000</v>
      </c>
      <c r="K181" s="3">
        <v>-3937000</v>
      </c>
      <c r="L181" s="3">
        <v>299265000</v>
      </c>
      <c r="M181" s="3">
        <v>-174181000</v>
      </c>
      <c r="N181" s="3">
        <v>598100000</v>
      </c>
      <c r="O181" s="4">
        <v>652747000</v>
      </c>
      <c r="P181" s="3">
        <v>-72000</v>
      </c>
      <c r="Q181" s="3">
        <v>600565000</v>
      </c>
      <c r="R181" s="3">
        <v>37990000</v>
      </c>
      <c r="S181" s="3">
        <v>14264000</v>
      </c>
    </row>
    <row r="182" spans="1:1022 1027:2048 2053:3060 3074:4086 4100:5112 5126:6138 6152:7164 7178:8190 8204:9216 9230:10237 10242:11263 11268:12275 12289:13301 13315:14327 14341:15353 15367:16379" ht="16" x14ac:dyDescent="0.2">
      <c r="A182" s="2" t="s">
        <v>182</v>
      </c>
      <c r="B182" s="3">
        <v>-10024</v>
      </c>
      <c r="C182" s="3">
        <v>9979</v>
      </c>
      <c r="D182" s="3">
        <v>-8794</v>
      </c>
      <c r="E182" s="3">
        <v>-31000</v>
      </c>
      <c r="F182" s="3">
        <v>85000</v>
      </c>
      <c r="G182" s="3">
        <v>120000</v>
      </c>
      <c r="H182" s="3">
        <v>906000</v>
      </c>
      <c r="I182" s="3">
        <v>736000</v>
      </c>
      <c r="J182" s="3">
        <v>-774000</v>
      </c>
      <c r="K182" s="3">
        <v>329000</v>
      </c>
      <c r="L182" s="3">
        <v>1976000</v>
      </c>
      <c r="M182" s="3">
        <v>-1982000</v>
      </c>
      <c r="N182" s="3">
        <v>-3380000</v>
      </c>
      <c r="O182" s="4">
        <v>1336000</v>
      </c>
      <c r="P182" s="3">
        <v>-2873000</v>
      </c>
      <c r="Q182" s="3">
        <v>3403000</v>
      </c>
      <c r="R182" s="3">
        <v>779000</v>
      </c>
      <c r="S182" s="3">
        <v>27000</v>
      </c>
    </row>
    <row r="183" spans="1:1022 1027:2048 2053:3060 3074:4086 4100:5112 5126:6138 6152:7164 7178:8190 8204:9216 9230:10237 10242:11263 11268:12275 12289:13301 13315:14327 14341:15353 15367:16379" ht="16" x14ac:dyDescent="0.2">
      <c r="A183" s="2" t="s">
        <v>183</v>
      </c>
      <c r="B183" s="3">
        <v>-2810784</v>
      </c>
      <c r="C183" s="3">
        <v>-21393487</v>
      </c>
      <c r="D183" s="3">
        <v>14834852</v>
      </c>
      <c r="E183" s="3">
        <v>6175000</v>
      </c>
      <c r="F183" s="3">
        <v>6011000</v>
      </c>
      <c r="G183" s="3">
        <v>11039000</v>
      </c>
      <c r="H183" s="3">
        <v>-19781000</v>
      </c>
      <c r="I183" s="3">
        <v>33718000</v>
      </c>
      <c r="J183" s="3">
        <v>273363000</v>
      </c>
      <c r="K183" s="3">
        <v>-179001000</v>
      </c>
      <c r="L183" s="3">
        <v>-18780000</v>
      </c>
      <c r="M183" s="3">
        <v>202869000</v>
      </c>
      <c r="N183" s="3">
        <v>2494000</v>
      </c>
      <c r="O183" s="4">
        <v>260176000</v>
      </c>
      <c r="P183" s="3">
        <v>-62386000</v>
      </c>
      <c r="Q183" s="3">
        <v>202719000</v>
      </c>
      <c r="R183" s="3">
        <v>-91007000</v>
      </c>
      <c r="S183" s="3">
        <v>210850000</v>
      </c>
    </row>
    <row r="184" spans="1:1022 1027:2048 2053:3060 3074:4086 4100:5112 5126:6138 6152:7164 7178:8190 8204:9216 9230:10237 10242:11263 11268:12275 12289:13301 13315:14327 14341:15353 15367:16379" ht="16" x14ac:dyDescent="0.2">
      <c r="A184" s="2" t="s">
        <v>54</v>
      </c>
      <c r="B184" s="3">
        <v>2147276</v>
      </c>
      <c r="C184" s="3">
        <v>4634529</v>
      </c>
      <c r="D184" s="3">
        <v>27008276</v>
      </c>
      <c r="E184" s="3">
        <v>34530000</v>
      </c>
      <c r="F184" s="3">
        <v>36822000</v>
      </c>
      <c r="G184" s="3">
        <v>38626000</v>
      </c>
      <c r="H184" s="3">
        <v>35509000</v>
      </c>
      <c r="I184" s="3">
        <v>21064000</v>
      </c>
      <c r="J184" s="3">
        <v>35456000</v>
      </c>
      <c r="K184" s="3">
        <v>4967000</v>
      </c>
      <c r="L184" s="3">
        <v>-1675000</v>
      </c>
      <c r="M184" s="3">
        <v>-149429000</v>
      </c>
      <c r="N184" s="3">
        <v>117634000</v>
      </c>
      <c r="O184" s="4">
        <v>138100000</v>
      </c>
      <c r="P184" s="3">
        <v>38313000</v>
      </c>
      <c r="Q184" s="3">
        <v>28751000</v>
      </c>
      <c r="R184" s="3">
        <v>23297000</v>
      </c>
      <c r="S184" s="3">
        <v>47739000</v>
      </c>
    </row>
    <row r="185" spans="1:1022 1027:2048 2053:3060 3074:4086 4100:5112 5126:6138 6152:7164 7178:8190 8204:9216 9230:10237 10242:11263 11268:12275 12289:13301 13315:14327 14341:15353 15367:16379" ht="16" x14ac:dyDescent="0.2">
      <c r="A185" s="2" t="s">
        <v>55</v>
      </c>
      <c r="B185" s="5">
        <v>2.4700000000000002</v>
      </c>
      <c r="C185" s="5">
        <v>5.15</v>
      </c>
      <c r="D185" s="5">
        <v>23.54</v>
      </c>
      <c r="E185" s="5">
        <v>25.05</v>
      </c>
      <c r="F185" s="5">
        <v>22.38</v>
      </c>
      <c r="G185" s="5">
        <v>19.52</v>
      </c>
      <c r="H185" s="5">
        <v>13.24</v>
      </c>
      <c r="I185" s="5">
        <v>6.13</v>
      </c>
      <c r="J185" s="5">
        <v>8.44</v>
      </c>
      <c r="K185" s="5">
        <v>0.94</v>
      </c>
      <c r="L185" s="5">
        <v>-0.25</v>
      </c>
      <c r="M185" s="5">
        <v>-17.309999999999999</v>
      </c>
      <c r="N185" s="5">
        <v>9.89</v>
      </c>
      <c r="O185" s="6">
        <v>10.11</v>
      </c>
      <c r="P185" s="5">
        <v>6.26</v>
      </c>
      <c r="Q185" s="5">
        <v>9.89</v>
      </c>
      <c r="R185" s="5">
        <v>9.24</v>
      </c>
      <c r="S185" s="5">
        <v>10.11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1258000</v>
      </c>
      <c r="F186" s="3" t="s">
        <v>24</v>
      </c>
      <c r="G186" s="3">
        <v>11186000</v>
      </c>
      <c r="H186" s="3">
        <v>3500000</v>
      </c>
      <c r="I186" s="3">
        <v>10629000</v>
      </c>
      <c r="J186" s="3">
        <v>4990000</v>
      </c>
      <c r="K186" s="3" t="s">
        <v>24</v>
      </c>
      <c r="L186" s="3">
        <v>7068000</v>
      </c>
      <c r="M186" s="3">
        <v>22393000</v>
      </c>
      <c r="N186" s="3">
        <v>2104000</v>
      </c>
      <c r="O186" s="4">
        <v>21026000</v>
      </c>
      <c r="P186" s="3" t="s">
        <v>24</v>
      </c>
      <c r="Q186" s="3" t="s">
        <v>24</v>
      </c>
      <c r="R186" s="3" t="s">
        <v>24</v>
      </c>
      <c r="S186" s="3">
        <v>21026000</v>
      </c>
    </row>
    <row r="187" spans="1:1022 1027:2048 2053:3060 3074:4086 4100:5112 5126:6138 6152:7164 7178:8190 8204:9216 9230:10237 10242:11263 11268:12275 12289:13301 13315:14327 14341:15353 15367:16379" ht="16" x14ac:dyDescent="0.2">
      <c r="A187" s="2" t="s">
        <v>185</v>
      </c>
      <c r="B187" s="3">
        <v>-3771149</v>
      </c>
      <c r="C187" s="3">
        <v>15057272</v>
      </c>
      <c r="D187" s="3">
        <v>24754244</v>
      </c>
      <c r="E187" s="3">
        <v>30320000</v>
      </c>
      <c r="F187" s="3">
        <v>32744000</v>
      </c>
      <c r="G187" s="3">
        <v>39941000</v>
      </c>
      <c r="H187" s="3">
        <v>9473000</v>
      </c>
      <c r="I187" s="3">
        <v>7047000</v>
      </c>
      <c r="J187" s="3">
        <v>52178000</v>
      </c>
      <c r="K187" s="3">
        <v>49330000</v>
      </c>
      <c r="L187" s="3">
        <v>-34389000</v>
      </c>
      <c r="M187" s="3">
        <v>74216000</v>
      </c>
      <c r="N187" s="3">
        <v>179252000</v>
      </c>
      <c r="O187" s="4">
        <v>110359000</v>
      </c>
      <c r="P187" s="3">
        <v>26441000</v>
      </c>
      <c r="Q187" s="3">
        <v>119422000</v>
      </c>
      <c r="R187" s="3">
        <v>-64961000</v>
      </c>
      <c r="S187" s="3">
        <v>29457000</v>
      </c>
    </row>
    <row r="188" spans="1:1022 1027:2048 2053:3060 3074:4086 4100:5112 5126:6138 6152:7164 7178:8190 8204:9216 9230:10237 10242:11263 11268:12275 12289:13301 13315:14327 14341:15353 15367:16379" ht="16" x14ac:dyDescent="0.2">
      <c r="A188" s="32" t="s">
        <v>186</v>
      </c>
      <c r="B188" s="30" t="s">
        <v>24</v>
      </c>
      <c r="C188" s="30" t="s">
        <v>24</v>
      </c>
      <c r="D188" s="30">
        <v>24754244</v>
      </c>
      <c r="E188" s="30">
        <v>30320000</v>
      </c>
      <c r="F188" s="30">
        <v>32624409</v>
      </c>
      <c r="G188" s="30">
        <v>39941000</v>
      </c>
      <c r="H188" s="30">
        <v>9278596</v>
      </c>
      <c r="I188" s="30">
        <v>7047000</v>
      </c>
      <c r="J188" s="30">
        <v>52178000</v>
      </c>
      <c r="K188" s="30">
        <v>49330000</v>
      </c>
      <c r="L188" s="30">
        <v>-34389000</v>
      </c>
      <c r="M188" s="30">
        <v>74216000</v>
      </c>
      <c r="N188" s="30">
        <v>179252000</v>
      </c>
      <c r="O188" s="31">
        <v>110359000</v>
      </c>
      <c r="P188" s="30">
        <v>19898589</v>
      </c>
      <c r="Q188" s="30">
        <v>119422000</v>
      </c>
      <c r="R188" s="30">
        <v>-64836000</v>
      </c>
      <c r="S188" s="30">
        <v>29522000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t="e">
        <f>(D188/C188)-1</f>
        <v>#VALUE!</v>
      </c>
      <c r="E189" s="24">
        <f>(E188/D188)-1</f>
        <v>0.22484047583921374</v>
      </c>
      <c r="F189" s="24">
        <f t="shared" ref="F189:L189" si="8">(F188/E188)-1</f>
        <v>7.6002935356200618E-2</v>
      </c>
      <c r="G189" s="24">
        <f t="shared" si="8"/>
        <v>0.22426738826134751</v>
      </c>
      <c r="H189" s="24">
        <f t="shared" si="8"/>
        <v>-0.76769244635837863</v>
      </c>
      <c r="I189" s="24">
        <f t="shared" si="8"/>
        <v>-0.24051009441514648</v>
      </c>
      <c r="J189" s="24">
        <f t="shared" si="8"/>
        <v>6.4042855115652051</v>
      </c>
      <c r="K189" s="24">
        <f t="shared" si="8"/>
        <v>-5.4582391046034684E-2</v>
      </c>
      <c r="L189" s="24">
        <f t="shared" si="8"/>
        <v>-1.6971214271234543</v>
      </c>
      <c r="M189" s="24">
        <f>(M188/L188)-1</f>
        <v>-3.1581319608014189</v>
      </c>
      <c r="N189" s="24">
        <f>(N188/M187)-1</f>
        <v>1.4152743343753369</v>
      </c>
      <c r="O189" s="24">
        <f>(O188/N188)-1</f>
        <v>-0.38433601856604105</v>
      </c>
      <c r="P189" s="24"/>
      <c r="Q189" s="24">
        <f>(Q188/P188)-1</f>
        <v>5.001531063333184</v>
      </c>
      <c r="R189" s="24">
        <f>(R188/Q188)-1</f>
        <v>-1.5429150407797558</v>
      </c>
      <c r="S189" s="24">
        <f>(S188/R188)-1</f>
        <v>-1.4553334567215743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t="e">
        <f t="shared" si="9"/>
        <v>#VALUE!</v>
      </c>
      <c r="D190" s="26">
        <f t="shared" si="9"/>
        <v>0.21571809330439737</v>
      </c>
      <c r="E190" s="26">
        <f t="shared" si="9"/>
        <v>0.21997954016150212</v>
      </c>
      <c r="F190" s="26">
        <f t="shared" si="9"/>
        <v>0.19829453882388695</v>
      </c>
      <c r="G190" s="26">
        <f t="shared" si="9"/>
        <v>0.2018323125745356</v>
      </c>
      <c r="H190" s="26">
        <f t="shared" si="9"/>
        <v>3.4590005405506163E-2</v>
      </c>
      <c r="I190" s="26">
        <f t="shared" si="9"/>
        <v>2.0497501439798952E-2</v>
      </c>
      <c r="J190" s="26">
        <f t="shared" si="9"/>
        <v>0.12421322262109945</v>
      </c>
      <c r="K190" s="26">
        <f t="shared" si="9"/>
        <v>9.2924688241720982E-2</v>
      </c>
      <c r="L190" s="26">
        <f t="shared" si="9"/>
        <v>-5.0497574900551095E-2</v>
      </c>
      <c r="M190" s="26">
        <f t="shared" si="9"/>
        <v>8.5959732725181578E-2</v>
      </c>
      <c r="N190" s="26">
        <f t="shared" si="9"/>
        <v>0.15064016101719843</v>
      </c>
      <c r="O190" s="27">
        <f t="shared" si="9"/>
        <v>8.0816875911724553E-2</v>
      </c>
      <c r="P190" s="26">
        <f t="shared" si="9"/>
        <v>6.3827854654631533E-2</v>
      </c>
      <c r="Q190" s="26">
        <f t="shared" si="9"/>
        <v>0.35527247413295571</v>
      </c>
      <c r="R190" s="26">
        <f t="shared" si="9"/>
        <v>-0.18900254487046814</v>
      </c>
      <c r="S190" s="26">
        <f t="shared" si="9"/>
        <v>7.8808344789845303E-2</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-3261194</v>
      </c>
      <c r="C191" s="3">
        <v>15620138</v>
      </c>
      <c r="D191" s="3">
        <v>25219002</v>
      </c>
      <c r="E191" s="3">
        <v>30643000</v>
      </c>
      <c r="F191" s="3">
        <v>32901000</v>
      </c>
      <c r="G191" s="3">
        <v>40402000</v>
      </c>
      <c r="H191" s="3">
        <v>12903000</v>
      </c>
      <c r="I191" s="3">
        <v>8061000</v>
      </c>
      <c r="J191" s="3">
        <v>52736000</v>
      </c>
      <c r="K191" s="3">
        <v>49734000</v>
      </c>
      <c r="L191" s="3">
        <v>-34053000</v>
      </c>
      <c r="M191" s="3">
        <v>74651000</v>
      </c>
      <c r="N191" s="3">
        <v>853615000</v>
      </c>
      <c r="O191" s="4">
        <v>784717000</v>
      </c>
      <c r="P191" s="3">
        <v>26665000</v>
      </c>
      <c r="Q191" s="3">
        <v>793366000</v>
      </c>
      <c r="R191" s="3">
        <v>-64836000</v>
      </c>
      <c r="S191" s="3">
        <v>29522000</v>
      </c>
    </row>
    <row r="192" spans="1:1022 1027:2048 2053:3060 3074:4086 4100:5112 5126:6138 6152:7164 7178:8190 8204:9216 9230:10237 10242:11263 11268:12275 12289:13301 13315:14327 14341:15353 15367:16379" ht="16" x14ac:dyDescent="0.2">
      <c r="A192" s="2" t="s">
        <v>188</v>
      </c>
      <c r="B192" s="5">
        <v>-0.06</v>
      </c>
      <c r="C192" s="5">
        <v>0.25</v>
      </c>
      <c r="D192" s="5">
        <v>0.46</v>
      </c>
      <c r="E192" s="5">
        <v>0.57999999999999996</v>
      </c>
      <c r="F192" s="5">
        <v>0.62</v>
      </c>
      <c r="G192" s="5">
        <v>0.75</v>
      </c>
      <c r="H192" s="5">
        <v>0.18</v>
      </c>
      <c r="I192" s="5">
        <v>0.13</v>
      </c>
      <c r="J192" s="5">
        <v>0.93</v>
      </c>
      <c r="K192" s="5">
        <v>0.83</v>
      </c>
      <c r="L192" s="5">
        <v>-0.56000000000000005</v>
      </c>
      <c r="M192" s="5">
        <v>1.1200000000000001</v>
      </c>
      <c r="N192" s="5">
        <v>2.52</v>
      </c>
      <c r="O192" s="6">
        <v>1.53</v>
      </c>
      <c r="P192" s="5">
        <v>0.37</v>
      </c>
      <c r="Q192" s="5">
        <v>1.68</v>
      </c>
      <c r="R192" s="5">
        <v>-0.89</v>
      </c>
      <c r="S192" s="5">
        <v>0.4</v>
      </c>
    </row>
    <row r="193" spans="1:19" ht="16" x14ac:dyDescent="0.2">
      <c r="A193" s="2" t="s">
        <v>189</v>
      </c>
      <c r="B193" s="5">
        <v>56.14</v>
      </c>
      <c r="C193" s="5">
        <v>15.53</v>
      </c>
      <c r="D193" s="5">
        <v>17.3</v>
      </c>
      <c r="E193" s="5">
        <v>24.9</v>
      </c>
      <c r="F193" s="5">
        <v>37.86</v>
      </c>
      <c r="G193" s="5">
        <v>17.84</v>
      </c>
      <c r="H193" s="5">
        <v>49.2</v>
      </c>
      <c r="I193" s="5">
        <v>47.72</v>
      </c>
      <c r="J193" s="5">
        <v>33.53</v>
      </c>
      <c r="K193" s="5">
        <v>53.63</v>
      </c>
      <c r="L193" s="5">
        <v>67.98</v>
      </c>
      <c r="M193" s="5">
        <v>59.46</v>
      </c>
      <c r="N193" s="5">
        <v>41.29</v>
      </c>
      <c r="O193" s="6">
        <v>69.77</v>
      </c>
      <c r="P193" s="5">
        <v>51.16</v>
      </c>
      <c r="Q193" s="5">
        <v>43.86</v>
      </c>
      <c r="R193" s="5">
        <v>96.44</v>
      </c>
      <c r="S193" s="5">
        <v>74.959999999999994</v>
      </c>
    </row>
    <row r="194" spans="1:19" ht="16" x14ac:dyDescent="0.2">
      <c r="A194" s="2" t="s">
        <v>190</v>
      </c>
      <c r="B194" s="5">
        <v>-0.17</v>
      </c>
      <c r="C194" s="5">
        <v>-2.36</v>
      </c>
      <c r="D194" s="5">
        <v>1.8</v>
      </c>
      <c r="E194" s="5">
        <v>1.64</v>
      </c>
      <c r="F194" s="5">
        <v>1.78</v>
      </c>
      <c r="G194" s="5">
        <v>2.33</v>
      </c>
      <c r="H194" s="5">
        <v>1.04</v>
      </c>
      <c r="I194" s="5">
        <v>3.55</v>
      </c>
      <c r="J194" s="5">
        <v>2.19</v>
      </c>
      <c r="K194" s="5">
        <v>74.459999999999994</v>
      </c>
      <c r="L194" s="5">
        <v>-22.32</v>
      </c>
      <c r="M194" s="5">
        <v>-2.0699999999999998</v>
      </c>
      <c r="N194" s="5">
        <v>1.6</v>
      </c>
      <c r="O194" s="6">
        <v>1.6</v>
      </c>
      <c r="P194" s="5">
        <v>3.37</v>
      </c>
      <c r="Q194" s="5">
        <v>4.49</v>
      </c>
      <c r="R194" s="5">
        <v>-1.25</v>
      </c>
      <c r="S194" s="5">
        <v>3.43</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G96 A191:S195 A105:G105 M105:S105 A106:S128 A130:S142 A144:S171 A188:I188 P188:Q188 A187:L187 N187:S187 N188 K188 A173:S186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82AB-3769-214A-924D-BEDEE191ACB9}">
  <dimension ref="A1:R110"/>
  <sheetViews>
    <sheetView tabSelected="1" workbookViewId="0">
      <selection activeCell="H23" sqref="H23"/>
    </sheetView>
  </sheetViews>
  <sheetFormatPr baseColWidth="10" defaultRowHeight="15" x14ac:dyDescent="0.2"/>
  <cols>
    <col min="1" max="18" width="18.83203125" customWidth="1"/>
  </cols>
  <sheetData>
    <row r="1" spans="1:18" s="106" customFormat="1" ht="22" customHeight="1" x14ac:dyDescent="0.2">
      <c r="A1" s="106" t="e" vm="1">
        <v>#VALUE!</v>
      </c>
    </row>
    <row r="2" spans="1:18" s="106" customFormat="1" ht="22" customHeight="1" thickBot="1" x14ac:dyDescent="0.25"/>
    <row r="3" spans="1:18" ht="22" customHeight="1" x14ac:dyDescent="0.2">
      <c r="A3" s="76" cm="1">
        <f t="array" ref="A3">_FV(A1,"Market cap",TRUE)</f>
        <v>16603838051</v>
      </c>
      <c r="B3" s="77" t="s">
        <v>201</v>
      </c>
      <c r="C3" s="78">
        <f>Financials!O8*0.01</f>
        <v>0.61160000000000003</v>
      </c>
      <c r="D3" s="77" t="s">
        <v>202</v>
      </c>
      <c r="E3" s="78">
        <f>SUM(C11:E11)/3</f>
        <v>0.30962155536291669</v>
      </c>
      <c r="F3" s="79" t="s">
        <v>203</v>
      </c>
      <c r="G3" s="80">
        <f>SUM(Financials!K129:N129)/4</f>
        <v>5.0849609614888436E-2</v>
      </c>
      <c r="H3" s="79" t="s">
        <v>204</v>
      </c>
      <c r="I3" s="81">
        <f>J15*(1+I7)/(I6-I7)</f>
        <v>9266766525.5885773</v>
      </c>
      <c r="J3" s="82" t="s">
        <v>205</v>
      </c>
      <c r="K3" s="83">
        <f>(Financials!O172*-1)/Model!A3</f>
        <v>0</v>
      </c>
      <c r="L3" s="84" t="s">
        <v>251</v>
      </c>
      <c r="M3" s="41"/>
      <c r="N3" s="107" t="s">
        <v>206</v>
      </c>
      <c r="O3" s="108"/>
      <c r="P3" s="41"/>
      <c r="Q3" s="41"/>
      <c r="R3" s="41"/>
    </row>
    <row r="4" spans="1:18" ht="22" customHeight="1" x14ac:dyDescent="0.2">
      <c r="A4" s="85">
        <f>Financials!O56-Financials!O96-Financials!O105</f>
        <v>424440000</v>
      </c>
      <c r="B4" s="86" t="s">
        <v>207</v>
      </c>
      <c r="C4" s="43">
        <f>Financials!O17*0.01</f>
        <v>8.1699999999999995E-2</v>
      </c>
      <c r="D4" s="86" t="s">
        <v>208</v>
      </c>
      <c r="E4" s="43">
        <f>SUM(C13:E13)/3</f>
        <v>9.1356651132061888</v>
      </c>
      <c r="F4" s="87" t="s">
        <v>209</v>
      </c>
      <c r="G4" s="88">
        <f>A5*(1+(5*G3))</f>
        <v>93985610.012242079</v>
      </c>
      <c r="H4" s="87" t="s">
        <v>210</v>
      </c>
      <c r="I4" s="42">
        <f>NPV(I6,F15,G15,H15,I15,(J15+I3))</f>
        <v>7509822548.4943752</v>
      </c>
      <c r="J4" s="87" t="s">
        <v>211</v>
      </c>
      <c r="K4" s="89" cm="1">
        <f t="array" ref="K4">_FV(A1,"Change (%)",TRUE)</f>
        <v>1.3354E-2</v>
      </c>
      <c r="L4" s="90" t="s">
        <v>212</v>
      </c>
      <c r="M4" s="41"/>
      <c r="N4" s="109" t="s">
        <v>213</v>
      </c>
      <c r="O4" s="110"/>
      <c r="P4" s="41"/>
      <c r="Q4" s="41"/>
      <c r="R4" s="41"/>
    </row>
    <row r="5" spans="1:18" ht="22" customHeight="1" x14ac:dyDescent="0.2">
      <c r="A5" s="85" cm="1">
        <f t="array" ref="A5">_FV(A1,"Shares outstanding",TRUE)</f>
        <v>74933830</v>
      </c>
      <c r="B5" s="86" t="s">
        <v>214</v>
      </c>
      <c r="C5" s="43">
        <f>Financials!O34*0.01</f>
        <v>7.2400000000000006E-2</v>
      </c>
      <c r="D5" s="91" t="s">
        <v>215</v>
      </c>
      <c r="E5" s="43">
        <f>SUM(C16:E16)/3</f>
        <v>-1.146659684516512</v>
      </c>
      <c r="F5" s="87" t="s">
        <v>216</v>
      </c>
      <c r="G5" s="88">
        <f>Financials!O56</f>
        <v>1133945000</v>
      </c>
      <c r="H5" s="87" t="s">
        <v>217</v>
      </c>
      <c r="I5" s="42">
        <f>I4+G5-G6</f>
        <v>7934262548.4943752</v>
      </c>
      <c r="J5" s="87" t="s">
        <v>218</v>
      </c>
      <c r="K5" s="92" cm="1">
        <f t="array" ref="K5">_FV(A1,"Price")</f>
        <v>221.58</v>
      </c>
      <c r="L5" s="93" t="s">
        <v>219</v>
      </c>
      <c r="M5" s="41"/>
      <c r="N5" s="111" t="s">
        <v>220</v>
      </c>
      <c r="O5" s="112">
        <f>Financials!O21</f>
        <v>41119000</v>
      </c>
      <c r="P5" s="41"/>
      <c r="Q5" s="41"/>
      <c r="R5" s="41"/>
    </row>
    <row r="6" spans="1:18" ht="22" customHeight="1" x14ac:dyDescent="0.2">
      <c r="A6" s="94">
        <f>O20/F10</f>
        <v>10.887762656393443</v>
      </c>
      <c r="B6" s="86" t="s">
        <v>221</v>
      </c>
      <c r="C6" s="43">
        <f>Financials!O190</f>
        <v>8.0816875911724553E-2</v>
      </c>
      <c r="D6" s="91" t="s">
        <v>200</v>
      </c>
      <c r="E6" s="43">
        <f>Financials!O33/Financials!O126</f>
        <v>6.8418779818380376E-2</v>
      </c>
      <c r="F6" s="86" t="s">
        <v>222</v>
      </c>
      <c r="G6" s="88">
        <f>Financials!O96+Financials!O105</f>
        <v>709505000</v>
      </c>
      <c r="H6" s="87" t="s">
        <v>223</v>
      </c>
      <c r="I6" s="89">
        <f>N25</f>
        <v>7.8424783999136674E-2</v>
      </c>
      <c r="J6" s="87" t="s">
        <v>224</v>
      </c>
      <c r="K6" s="44">
        <f>I5/G4</f>
        <v>84.419971817610161</v>
      </c>
      <c r="L6" s="95" t="s">
        <v>225</v>
      </c>
      <c r="M6" s="41"/>
      <c r="N6" s="111" t="s">
        <v>226</v>
      </c>
      <c r="O6" s="112">
        <f>Financials!O96</f>
        <v>0</v>
      </c>
      <c r="P6" s="41"/>
      <c r="Q6" s="41"/>
      <c r="R6" s="41"/>
    </row>
    <row r="7" spans="1:18" ht="22" customHeight="1" thickBot="1" x14ac:dyDescent="0.25">
      <c r="A7" s="96">
        <f>O20/F12</f>
        <v>61.954619593283581</v>
      </c>
      <c r="B7" s="97" t="s">
        <v>227</v>
      </c>
      <c r="C7" s="98">
        <f>F15/O21</f>
        <v>7.1043471868880723E-3</v>
      </c>
      <c r="D7" s="97" t="s">
        <v>228</v>
      </c>
      <c r="E7" s="99">
        <f>(Financials!O16*(1-0.25))/(Financials!O126+Financials!O105+Financials!O96)</f>
        <v>3.8819277578169997E-2</v>
      </c>
      <c r="F7" s="97" t="s">
        <v>196</v>
      </c>
      <c r="G7" s="100">
        <f>(Financials!O96+Financials!O105)/Financials!O126</f>
        <v>0.49100760001051902</v>
      </c>
      <c r="H7" s="101" t="s">
        <v>229</v>
      </c>
      <c r="I7" s="102">
        <v>2.5000000000000001E-2</v>
      </c>
      <c r="J7" s="103" t="s">
        <v>230</v>
      </c>
      <c r="K7" s="104">
        <f>K6/K5-1</f>
        <v>-0.61900906301286152</v>
      </c>
      <c r="L7" s="105" t="s">
        <v>231</v>
      </c>
      <c r="M7" s="41"/>
      <c r="N7" s="111" t="s">
        <v>232</v>
      </c>
      <c r="O7" s="112">
        <f>Financials!O105</f>
        <v>709505000</v>
      </c>
      <c r="P7" s="41"/>
      <c r="Q7" s="41"/>
      <c r="R7" s="41"/>
    </row>
    <row r="8" spans="1:18" ht="22" customHeight="1" x14ac:dyDescent="0.2">
      <c r="A8" s="45"/>
      <c r="B8" s="41"/>
      <c r="C8" s="41"/>
      <c r="D8" s="41"/>
      <c r="E8" s="41"/>
      <c r="F8" s="41"/>
      <c r="G8" s="41"/>
      <c r="H8" s="41"/>
      <c r="I8" s="41"/>
      <c r="J8" s="41"/>
      <c r="K8" s="41"/>
      <c r="L8" s="41"/>
      <c r="M8" s="41"/>
      <c r="N8" s="113" t="s">
        <v>213</v>
      </c>
      <c r="O8" s="114">
        <f>O5/(O6+O7)</f>
        <v>5.7954489397537723E-2</v>
      </c>
      <c r="P8" s="41"/>
      <c r="Q8" s="41"/>
      <c r="R8" s="41"/>
    </row>
    <row r="9" spans="1:18" ht="22" customHeight="1" x14ac:dyDescent="0.2">
      <c r="A9" s="56"/>
      <c r="B9" s="57">
        <v>2019</v>
      </c>
      <c r="C9" s="57">
        <v>2020</v>
      </c>
      <c r="D9" s="57">
        <v>2021</v>
      </c>
      <c r="E9" s="58">
        <v>2022</v>
      </c>
      <c r="F9" s="59">
        <v>2023</v>
      </c>
      <c r="G9" s="60">
        <v>2024</v>
      </c>
      <c r="H9" s="60">
        <v>2025</v>
      </c>
      <c r="I9" s="60">
        <v>2026</v>
      </c>
      <c r="J9" s="61">
        <v>2027</v>
      </c>
      <c r="K9" s="46"/>
      <c r="L9" s="46"/>
      <c r="M9" s="46"/>
      <c r="N9" s="111" t="s">
        <v>233</v>
      </c>
      <c r="O9" s="112">
        <f>Financials!O25</f>
        <v>-13502000</v>
      </c>
      <c r="P9" s="41"/>
      <c r="Q9" s="41"/>
      <c r="R9" s="41"/>
    </row>
    <row r="10" spans="1:18" ht="22" customHeight="1" x14ac:dyDescent="0.2">
      <c r="A10" s="62" t="s">
        <v>234</v>
      </c>
      <c r="B10" s="63">
        <v>530860000</v>
      </c>
      <c r="C10" s="63">
        <v>681003000</v>
      </c>
      <c r="D10" s="63">
        <v>863381000</v>
      </c>
      <c r="E10" s="64">
        <v>1189935000</v>
      </c>
      <c r="F10" s="63">
        <v>1525000000</v>
      </c>
      <c r="G10" s="63">
        <v>1813000000</v>
      </c>
      <c r="H10" s="63">
        <v>2121000000</v>
      </c>
      <c r="I10" s="63">
        <v>2386000000</v>
      </c>
      <c r="J10" s="64">
        <v>2565000000</v>
      </c>
      <c r="K10" s="65" t="s">
        <v>235</v>
      </c>
      <c r="L10" s="46"/>
      <c r="N10" s="111" t="s">
        <v>236</v>
      </c>
      <c r="O10" s="112">
        <f>Financials!O24</f>
        <v>85363000</v>
      </c>
      <c r="P10" s="41"/>
      <c r="Q10" s="41"/>
      <c r="R10" s="41"/>
    </row>
    <row r="11" spans="1:18" ht="22" customHeight="1" x14ac:dyDescent="0.2">
      <c r="A11" s="66"/>
      <c r="B11" s="47"/>
      <c r="C11" s="47">
        <f t="shared" ref="C11:J11" si="0">(C10/B10)-1</f>
        <v>0.28282974795614657</v>
      </c>
      <c r="D11" s="47">
        <f t="shared" si="0"/>
        <v>0.26780792448785107</v>
      </c>
      <c r="E11" s="47">
        <f t="shared" si="0"/>
        <v>0.37822699364475243</v>
      </c>
      <c r="F11" s="48">
        <f t="shared" si="0"/>
        <v>0.28158260745334829</v>
      </c>
      <c r="G11" s="47">
        <f t="shared" si="0"/>
        <v>0.18885245901639336</v>
      </c>
      <c r="H11" s="47">
        <f t="shared" si="0"/>
        <v>0.16988416988416999</v>
      </c>
      <c r="I11" s="47">
        <f t="shared" si="0"/>
        <v>0.12494106553512485</v>
      </c>
      <c r="J11" s="67">
        <f t="shared" si="0"/>
        <v>7.5020955574182757E-2</v>
      </c>
      <c r="K11" s="67">
        <f>SUM(F11:J11)/5</f>
        <v>0.16805625149264386</v>
      </c>
      <c r="L11" s="46"/>
      <c r="M11" s="46"/>
      <c r="N11" s="111" t="s">
        <v>237</v>
      </c>
      <c r="O11" s="115">
        <f>O9/O10</f>
        <v>-0.1581715731640172</v>
      </c>
      <c r="P11" s="41"/>
      <c r="Q11" s="41"/>
      <c r="R11" s="41"/>
    </row>
    <row r="12" spans="1:18" ht="22" customHeight="1" x14ac:dyDescent="0.2">
      <c r="A12" s="62" t="s">
        <v>142</v>
      </c>
      <c r="B12" s="63">
        <v>882000</v>
      </c>
      <c r="C12" s="63">
        <v>-1724000</v>
      </c>
      <c r="D12" s="63">
        <v>-60018000</v>
      </c>
      <c r="E12" s="63">
        <v>147139000</v>
      </c>
      <c r="F12" s="68">
        <v>268000000</v>
      </c>
      <c r="G12" s="63">
        <v>290000000</v>
      </c>
      <c r="H12" s="63">
        <v>401000000</v>
      </c>
      <c r="I12" s="63">
        <v>531000000</v>
      </c>
      <c r="J12" s="64">
        <v>604000000</v>
      </c>
      <c r="K12" s="69" t="s">
        <v>238</v>
      </c>
      <c r="L12" s="46"/>
      <c r="M12" s="46"/>
      <c r="N12" s="111" t="s">
        <v>239</v>
      </c>
      <c r="O12" s="115">
        <f>O8*(1-O11)</f>
        <v>6.7121242157463623E-2</v>
      </c>
      <c r="P12" s="41"/>
      <c r="Q12" s="41"/>
      <c r="R12" s="41"/>
    </row>
    <row r="13" spans="1:18" ht="22" customHeight="1" x14ac:dyDescent="0.2">
      <c r="A13" s="66"/>
      <c r="B13" s="47"/>
      <c r="C13" s="47">
        <f t="shared" ref="C13:J13" si="1">(C12/B12)-1</f>
        <v>-2.9546485260770976</v>
      </c>
      <c r="D13" s="47">
        <f t="shared" si="1"/>
        <v>33.81322505800464</v>
      </c>
      <c r="E13" s="47">
        <f t="shared" si="1"/>
        <v>-3.4515811923089741</v>
      </c>
      <c r="F13" s="48">
        <f t="shared" si="1"/>
        <v>0.82140696892054454</v>
      </c>
      <c r="G13" s="47">
        <f t="shared" si="1"/>
        <v>8.2089552238805874E-2</v>
      </c>
      <c r="H13" s="47">
        <f t="shared" si="1"/>
        <v>0.38275862068965516</v>
      </c>
      <c r="I13" s="47">
        <f t="shared" si="1"/>
        <v>0.32418952618453867</v>
      </c>
      <c r="J13" s="67">
        <f t="shared" si="1"/>
        <v>0.13747645951035792</v>
      </c>
      <c r="K13" s="67">
        <f>SUM(F13:J13)/5</f>
        <v>0.34958422550878043</v>
      </c>
      <c r="L13" s="46"/>
      <c r="M13" s="46"/>
      <c r="N13" s="109" t="s">
        <v>240</v>
      </c>
      <c r="O13" s="110"/>
      <c r="P13" s="41"/>
      <c r="Q13" s="41"/>
      <c r="R13" s="41"/>
    </row>
    <row r="14" spans="1:18" ht="22" customHeight="1" x14ac:dyDescent="0.2">
      <c r="A14" s="52" t="s">
        <v>250</v>
      </c>
      <c r="B14" s="53">
        <f>B12/B10</f>
        <v>1.6614549975511434E-3</v>
      </c>
      <c r="C14" s="53">
        <f t="shared" ref="C14:J14" si="2">C12/C10</f>
        <v>-2.5315600665488992E-3</v>
      </c>
      <c r="D14" s="53">
        <f t="shared" si="2"/>
        <v>-6.9515080827583647E-2</v>
      </c>
      <c r="E14" s="53">
        <f t="shared" si="2"/>
        <v>0.12365297264136277</v>
      </c>
      <c r="F14" s="54">
        <f t="shared" si="2"/>
        <v>0.17573770491803278</v>
      </c>
      <c r="G14" s="53">
        <f t="shared" si="2"/>
        <v>0.15995587424158852</v>
      </c>
      <c r="H14" s="53">
        <f t="shared" si="2"/>
        <v>0.18906176331918906</v>
      </c>
      <c r="I14" s="53">
        <f t="shared" si="2"/>
        <v>0.2225481978206203</v>
      </c>
      <c r="J14" s="55">
        <f t="shared" si="2"/>
        <v>0.2354775828460039</v>
      </c>
      <c r="K14" s="55"/>
      <c r="L14" s="46"/>
      <c r="M14" s="46"/>
      <c r="N14" s="111" t="s">
        <v>242</v>
      </c>
      <c r="O14" s="115">
        <f>'[1]US Treasury Bonds'!$C$8</f>
        <v>4.6280000000000002E-2</v>
      </c>
      <c r="P14" s="41"/>
      <c r="Q14" s="41"/>
      <c r="R14" s="41"/>
    </row>
    <row r="15" spans="1:18" ht="22" customHeight="1" x14ac:dyDescent="0.2">
      <c r="A15" s="62" t="s">
        <v>185</v>
      </c>
      <c r="B15" s="63">
        <v>49330000</v>
      </c>
      <c r="C15" s="63">
        <v>-34389000</v>
      </c>
      <c r="D15" s="63">
        <v>74216000</v>
      </c>
      <c r="E15" s="63">
        <v>179252000</v>
      </c>
      <c r="F15" s="68">
        <v>123000000</v>
      </c>
      <c r="G15" s="63">
        <v>203000000</v>
      </c>
      <c r="H15" s="63">
        <v>299000000</v>
      </c>
      <c r="I15" s="63">
        <v>404000000</v>
      </c>
      <c r="J15" s="64">
        <v>483000000</v>
      </c>
      <c r="K15" s="69" t="s">
        <v>241</v>
      </c>
      <c r="L15" s="46"/>
      <c r="M15" s="46"/>
      <c r="N15" s="111" t="s">
        <v>243</v>
      </c>
      <c r="O15" s="116" cm="1">
        <f t="array" ref="O15">_FV(A1,"Beta")</f>
        <v>0.86499999999999999</v>
      </c>
      <c r="P15" s="41"/>
      <c r="Q15" s="41"/>
      <c r="R15" s="41"/>
    </row>
    <row r="16" spans="1:18" ht="22" customHeight="1" x14ac:dyDescent="0.2">
      <c r="A16" s="70"/>
      <c r="B16" s="47"/>
      <c r="C16" s="47">
        <f t="shared" ref="C16:J16" si="3">(C15/B15)-1</f>
        <v>-1.6971214271234543</v>
      </c>
      <c r="D16" s="47">
        <f t="shared" si="3"/>
        <v>-3.1581319608014189</v>
      </c>
      <c r="E16" s="47">
        <f t="shared" si="3"/>
        <v>1.4152743343753369</v>
      </c>
      <c r="F16" s="48">
        <f t="shared" si="3"/>
        <v>-0.31381518755718207</v>
      </c>
      <c r="G16" s="47">
        <f t="shared" si="3"/>
        <v>0.65040650406504064</v>
      </c>
      <c r="H16" s="47">
        <f t="shared" si="3"/>
        <v>0.47290640394088679</v>
      </c>
      <c r="I16" s="47">
        <f t="shared" si="3"/>
        <v>0.3511705685618729</v>
      </c>
      <c r="J16" s="67">
        <f t="shared" si="3"/>
        <v>0.1955445544554455</v>
      </c>
      <c r="K16" s="67">
        <f>SUM(F16:J16)/5</f>
        <v>0.27124256869321278</v>
      </c>
      <c r="L16" s="46"/>
      <c r="M16" s="46"/>
      <c r="N16" s="111" t="s">
        <v>244</v>
      </c>
      <c r="O16" s="115">
        <v>8.4000000000000005E-2</v>
      </c>
      <c r="P16" s="41"/>
      <c r="Q16" s="41"/>
      <c r="R16" s="41"/>
    </row>
    <row r="17" spans="1:18" ht="22" customHeight="1" x14ac:dyDescent="0.2">
      <c r="A17" s="52" t="s">
        <v>200</v>
      </c>
      <c r="B17" s="53">
        <f>B15/B10</f>
        <v>9.2924688241720982E-2</v>
      </c>
      <c r="C17" s="53">
        <f t="shared" ref="C17:J17" si="4">C15/C10</f>
        <v>-5.0497574900551095E-2</v>
      </c>
      <c r="D17" s="53">
        <f t="shared" si="4"/>
        <v>8.5959732725181578E-2</v>
      </c>
      <c r="E17" s="55">
        <f t="shared" si="4"/>
        <v>0.15064016101719843</v>
      </c>
      <c r="F17" s="53">
        <f t="shared" si="4"/>
        <v>8.0655737704918032E-2</v>
      </c>
      <c r="G17" s="53">
        <f t="shared" si="4"/>
        <v>0.11196911196911197</v>
      </c>
      <c r="H17" s="53">
        <f t="shared" si="4"/>
        <v>0.14097123998114097</v>
      </c>
      <c r="I17" s="53">
        <f t="shared" si="4"/>
        <v>0.16932103939647947</v>
      </c>
      <c r="J17" s="55">
        <f t="shared" si="4"/>
        <v>0.18830409356725147</v>
      </c>
      <c r="K17" s="55"/>
      <c r="L17" s="46"/>
      <c r="M17" s="46"/>
      <c r="N17" s="117" t="s">
        <v>240</v>
      </c>
      <c r="O17" s="118">
        <f>(O14)+((O15)*(O16-O14))</f>
        <v>7.89078E-2</v>
      </c>
      <c r="P17" s="41"/>
      <c r="Q17" s="41"/>
      <c r="R17" s="41"/>
    </row>
    <row r="18" spans="1:18" ht="22" customHeight="1" x14ac:dyDescent="0.2">
      <c r="A18" s="71" t="s">
        <v>196</v>
      </c>
      <c r="B18" s="72">
        <v>-8.8234482377942767E-3</v>
      </c>
      <c r="C18" s="72">
        <v>-1.0870622941751899E-2</v>
      </c>
      <c r="D18" s="72">
        <v>-0.11803196513303048</v>
      </c>
      <c r="E18" s="72">
        <v>3.5330225636378242E-2</v>
      </c>
      <c r="F18" s="73"/>
      <c r="G18" s="72"/>
      <c r="H18" s="72"/>
      <c r="I18" s="72"/>
      <c r="J18" s="74"/>
      <c r="K18" s="75"/>
      <c r="L18" s="46"/>
      <c r="M18" s="46"/>
      <c r="N18" s="109" t="s">
        <v>245</v>
      </c>
      <c r="O18" s="110"/>
      <c r="P18" s="41"/>
      <c r="Q18" s="41"/>
      <c r="R18" s="41"/>
    </row>
    <row r="19" spans="1:18" ht="22" customHeight="1" x14ac:dyDescent="0.2">
      <c r="A19" s="46"/>
      <c r="B19" s="46"/>
      <c r="C19" s="46"/>
      <c r="D19" s="46"/>
      <c r="E19" s="46"/>
      <c r="F19" s="46"/>
      <c r="G19" s="46"/>
      <c r="H19" s="46"/>
      <c r="I19" s="46"/>
      <c r="J19" s="46"/>
      <c r="K19" s="46"/>
      <c r="L19" s="46"/>
      <c r="M19" s="46"/>
      <c r="N19" s="111" t="s">
        <v>223</v>
      </c>
      <c r="O19" s="119">
        <f>O6+O7</f>
        <v>709505000</v>
      </c>
      <c r="P19" s="41"/>
      <c r="Q19" s="41"/>
      <c r="R19" s="41"/>
    </row>
    <row r="20" spans="1:18" ht="22" customHeight="1" x14ac:dyDescent="0.2">
      <c r="A20" s="46"/>
      <c r="B20" s="46"/>
      <c r="C20" s="46"/>
      <c r="D20" s="46"/>
      <c r="E20" s="46"/>
      <c r="F20" s="46"/>
      <c r="G20" s="46"/>
      <c r="H20" s="46"/>
      <c r="I20" s="46"/>
      <c r="J20" s="46"/>
      <c r="K20" s="46"/>
      <c r="L20" s="46"/>
      <c r="M20" s="46"/>
      <c r="N20" s="111" t="s">
        <v>201</v>
      </c>
      <c r="O20" s="119" cm="1">
        <f t="array" ref="O20">_FV(A1,"Market cap",TRUE)</f>
        <v>16603838051</v>
      </c>
      <c r="P20" s="41"/>
      <c r="Q20" s="41"/>
      <c r="R20" s="41"/>
    </row>
    <row r="21" spans="1:18" ht="22" customHeight="1" x14ac:dyDescent="0.2">
      <c r="A21" s="50" t="str" cm="1">
        <f t="array" ref="A21">_FV(A1,"Industry")</f>
        <v>Aerospace &amp; Defense</v>
      </c>
      <c r="B21" s="50"/>
      <c r="C21" s="51" cm="1">
        <f t="array" ref="C21">_FV(A1,"Year incorporated",TRUE)</f>
        <v>2001</v>
      </c>
      <c r="D21" s="51"/>
      <c r="E21" s="49"/>
      <c r="F21" s="46"/>
      <c r="G21" s="46"/>
      <c r="H21" s="46"/>
      <c r="I21" s="46"/>
      <c r="J21" s="46"/>
      <c r="K21" s="46"/>
      <c r="M21" s="46"/>
      <c r="N21" s="111" t="s">
        <v>246</v>
      </c>
      <c r="O21" s="119">
        <f>O19+O20</f>
        <v>17313343051</v>
      </c>
      <c r="P21" s="41"/>
      <c r="Q21" s="41"/>
      <c r="R21" s="41"/>
    </row>
    <row r="22" spans="1:18" ht="22" customHeight="1" x14ac:dyDescent="0.2">
      <c r="A22" s="50" t="str" cm="1">
        <f t="array" ref="A22">_FV(A1,"Description")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B22" s="50"/>
      <c r="C22" s="50"/>
      <c r="D22" s="50"/>
      <c r="E22" s="50"/>
      <c r="F22" s="46"/>
      <c r="G22" s="46"/>
      <c r="H22" s="46"/>
      <c r="I22" s="46"/>
      <c r="J22" s="46"/>
      <c r="K22" s="46"/>
      <c r="L22" s="46"/>
      <c r="M22" s="46"/>
      <c r="N22" s="113" t="s">
        <v>247</v>
      </c>
      <c r="O22" s="120">
        <f>(O19/O21)</f>
        <v>4.098024268969936E-2</v>
      </c>
      <c r="P22" s="41"/>
      <c r="Q22" s="41"/>
      <c r="R22" s="41"/>
    </row>
    <row r="23" spans="1:18" ht="22" customHeight="1" x14ac:dyDescent="0.2">
      <c r="A23" s="50"/>
      <c r="B23" s="50"/>
      <c r="C23" s="50"/>
      <c r="D23" s="50"/>
      <c r="E23" s="50"/>
      <c r="F23" s="46"/>
      <c r="G23" s="46"/>
      <c r="H23" s="46"/>
      <c r="I23" s="46"/>
      <c r="J23" s="46"/>
      <c r="K23" s="46"/>
      <c r="L23" s="46"/>
      <c r="M23" s="46"/>
      <c r="N23" s="117" t="s">
        <v>248</v>
      </c>
      <c r="O23" s="121">
        <f>O20/O21</f>
        <v>0.95901975731030065</v>
      </c>
      <c r="P23" s="41"/>
      <c r="Q23" s="41"/>
      <c r="R23" s="41"/>
    </row>
    <row r="24" spans="1:18" ht="22" customHeight="1" x14ac:dyDescent="0.2">
      <c r="A24" s="50"/>
      <c r="B24" s="50"/>
      <c r="C24" s="50"/>
      <c r="D24" s="50"/>
      <c r="E24" s="50"/>
      <c r="F24" s="46"/>
      <c r="G24" s="46"/>
      <c r="H24" s="46"/>
      <c r="I24" s="46"/>
      <c r="J24" s="46"/>
      <c r="K24" s="46"/>
      <c r="L24" s="46"/>
      <c r="M24" s="46"/>
      <c r="N24" s="122" t="s">
        <v>249</v>
      </c>
      <c r="O24" s="123"/>
      <c r="P24" s="41"/>
      <c r="Q24" s="41"/>
      <c r="R24" s="41"/>
    </row>
    <row r="25" spans="1:18" ht="22" customHeight="1" x14ac:dyDescent="0.2">
      <c r="A25" s="50"/>
      <c r="B25" s="50"/>
      <c r="C25" s="50"/>
      <c r="D25" s="50"/>
      <c r="E25" s="50"/>
      <c r="F25" s="46"/>
      <c r="G25" s="46"/>
      <c r="H25" s="46"/>
      <c r="I25" s="46"/>
      <c r="J25" s="46"/>
      <c r="K25" s="46"/>
      <c r="L25" s="46"/>
      <c r="M25" s="46"/>
      <c r="N25" s="124">
        <f>(O22*O12)+(O23*O17)</f>
        <v>7.8424783999136674E-2</v>
      </c>
      <c r="O25" s="125"/>
      <c r="P25" s="41"/>
      <c r="Q25" s="41"/>
      <c r="R25" s="41"/>
    </row>
    <row r="26" spans="1:18" ht="22" customHeight="1" x14ac:dyDescent="0.2">
      <c r="A26" s="50"/>
      <c r="B26" s="50"/>
      <c r="C26" s="50"/>
      <c r="D26" s="50"/>
      <c r="E26" s="50"/>
      <c r="F26" s="46"/>
      <c r="G26" s="46"/>
      <c r="H26" s="46"/>
      <c r="I26" s="46"/>
      <c r="J26" s="46"/>
      <c r="K26" s="46"/>
      <c r="L26" s="46"/>
      <c r="M26" s="46"/>
      <c r="N26" s="46"/>
      <c r="O26" s="41"/>
      <c r="P26" s="41"/>
      <c r="Q26" s="41"/>
      <c r="R26" s="41"/>
    </row>
    <row r="27" spans="1:18" ht="22" customHeight="1" x14ac:dyDescent="0.2">
      <c r="A27" s="50"/>
      <c r="B27" s="50"/>
      <c r="C27" s="50"/>
      <c r="D27" s="50"/>
      <c r="E27" s="50"/>
      <c r="F27" s="46"/>
      <c r="G27" s="46"/>
      <c r="H27" s="46"/>
      <c r="I27" s="46"/>
      <c r="J27" s="46"/>
      <c r="K27" s="46"/>
      <c r="L27" s="46"/>
      <c r="M27" s="46"/>
      <c r="N27" s="46"/>
      <c r="O27" s="41"/>
      <c r="P27" s="41"/>
      <c r="Q27" s="41"/>
      <c r="R27" s="41"/>
    </row>
    <row r="28" spans="1:18" ht="22" customHeight="1" x14ac:dyDescent="0.2">
      <c r="A28" s="50"/>
      <c r="B28" s="50"/>
      <c r="C28" s="50"/>
      <c r="D28" s="50"/>
      <c r="E28" s="50"/>
      <c r="F28" s="46"/>
      <c r="G28" s="46"/>
      <c r="H28" s="46"/>
      <c r="I28" s="46"/>
      <c r="J28" s="46"/>
      <c r="K28" s="46"/>
      <c r="L28" s="46"/>
      <c r="M28" s="46"/>
      <c r="N28" s="46"/>
      <c r="O28" s="41"/>
      <c r="P28" s="41"/>
      <c r="Q28" s="41"/>
      <c r="R28" s="41"/>
    </row>
    <row r="29" spans="1:18" ht="22" customHeight="1" x14ac:dyDescent="0.2">
      <c r="A29" s="50"/>
      <c r="B29" s="50"/>
      <c r="C29" s="50"/>
      <c r="D29" s="50"/>
      <c r="E29" s="50"/>
      <c r="F29" s="46"/>
      <c r="G29" s="46"/>
      <c r="H29" s="46"/>
      <c r="I29" s="46"/>
      <c r="J29" s="46"/>
      <c r="K29" s="46"/>
      <c r="L29" s="46"/>
      <c r="M29" s="46"/>
      <c r="N29" s="46"/>
      <c r="O29" s="41"/>
      <c r="P29" s="41"/>
      <c r="Q29" s="41"/>
      <c r="R29" s="41"/>
    </row>
    <row r="30" spans="1:18" ht="22" customHeight="1" x14ac:dyDescent="0.2">
      <c r="A30" s="50"/>
      <c r="B30" s="50"/>
      <c r="C30" s="50"/>
      <c r="D30" s="50"/>
      <c r="E30" s="50"/>
      <c r="F30" s="46"/>
      <c r="G30" s="46"/>
      <c r="H30" s="46"/>
      <c r="I30" s="46"/>
      <c r="J30" s="46"/>
      <c r="K30" s="46"/>
      <c r="L30" s="46"/>
      <c r="M30" s="46"/>
      <c r="N30" s="46"/>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46"/>
      <c r="B33" s="46"/>
      <c r="C33" s="46"/>
      <c r="D33" s="46"/>
      <c r="E33" s="46"/>
      <c r="F33" s="46"/>
      <c r="G33" s="46"/>
      <c r="H33" s="46"/>
      <c r="I33" s="46"/>
      <c r="J33" s="46"/>
      <c r="K33" s="46"/>
      <c r="L33" s="46"/>
      <c r="M33" s="46"/>
      <c r="N33" s="46"/>
      <c r="O33" s="46"/>
      <c r="P33" s="46"/>
      <c r="Q33" s="41"/>
      <c r="R33" s="41"/>
    </row>
    <row r="34" spans="1:18" x14ac:dyDescent="0.2">
      <c r="A34" s="46"/>
      <c r="B34" s="46"/>
      <c r="C34" s="46"/>
      <c r="D34" s="46"/>
      <c r="E34" s="46"/>
      <c r="F34" s="46"/>
      <c r="G34" s="46"/>
      <c r="H34" s="46"/>
      <c r="I34" s="46"/>
      <c r="J34" s="46"/>
      <c r="K34" s="46"/>
      <c r="L34" s="46"/>
      <c r="M34" s="46"/>
      <c r="N34" s="46"/>
      <c r="O34" s="46"/>
      <c r="P34" s="46"/>
      <c r="Q34" s="41"/>
      <c r="R34" s="41"/>
    </row>
    <row r="35" spans="1:18" x14ac:dyDescent="0.2">
      <c r="A35" s="46"/>
      <c r="B35" s="46"/>
      <c r="C35" s="46"/>
      <c r="D35" s="46"/>
      <c r="E35" s="46"/>
      <c r="F35" s="46"/>
      <c r="G35" s="46"/>
      <c r="H35" s="46"/>
      <c r="I35" s="46"/>
      <c r="J35" s="46"/>
      <c r="K35" s="46"/>
      <c r="L35" s="46"/>
      <c r="M35" s="46"/>
      <c r="N35" s="46"/>
      <c r="O35" s="46"/>
      <c r="P35" s="46"/>
      <c r="Q35" s="41"/>
      <c r="R35" s="41"/>
    </row>
    <row r="36" spans="1:18" x14ac:dyDescent="0.2">
      <c r="A36" s="46"/>
      <c r="B36" s="46"/>
      <c r="C36" s="46"/>
      <c r="D36" s="46"/>
      <c r="E36" s="46"/>
      <c r="F36" s="46"/>
      <c r="G36" s="46"/>
      <c r="H36" s="46"/>
      <c r="I36" s="46"/>
      <c r="J36" s="46"/>
      <c r="K36" s="46"/>
      <c r="L36" s="46"/>
      <c r="M36" s="46"/>
      <c r="N36" s="46"/>
      <c r="O36" s="46"/>
      <c r="P36" s="46"/>
      <c r="Q36" s="41"/>
      <c r="R36" s="41"/>
    </row>
    <row r="37" spans="1:18" x14ac:dyDescent="0.2">
      <c r="A37" s="46"/>
      <c r="B37" s="46"/>
      <c r="C37" s="46"/>
      <c r="D37" s="46"/>
      <c r="E37" s="46"/>
      <c r="F37" s="46"/>
      <c r="G37" s="46"/>
      <c r="H37" s="46"/>
      <c r="I37" s="46"/>
      <c r="J37" s="46"/>
      <c r="K37" s="46"/>
      <c r="L37" s="46"/>
      <c r="M37" s="46"/>
      <c r="N37" s="46"/>
      <c r="O37" s="46"/>
      <c r="P37" s="46"/>
      <c r="Q37" s="41"/>
      <c r="R37" s="41"/>
    </row>
    <row r="38" spans="1:18" x14ac:dyDescent="0.2">
      <c r="A38" s="46"/>
      <c r="B38" s="46"/>
      <c r="C38" s="46"/>
      <c r="D38" s="46"/>
      <c r="E38" s="46"/>
      <c r="F38" s="46"/>
      <c r="G38" s="46"/>
      <c r="H38" s="46"/>
      <c r="I38" s="46"/>
      <c r="J38" s="46"/>
      <c r="K38" s="46"/>
      <c r="L38" s="46"/>
      <c r="M38" s="46"/>
      <c r="N38" s="46"/>
      <c r="O38" s="46"/>
      <c r="P38" s="46"/>
      <c r="Q38" s="41"/>
      <c r="R38" s="41"/>
    </row>
    <row r="39" spans="1:18" x14ac:dyDescent="0.2">
      <c r="A39" s="46"/>
      <c r="B39" s="46"/>
      <c r="C39" s="46"/>
      <c r="D39" s="46"/>
      <c r="E39" s="46"/>
      <c r="F39" s="46"/>
      <c r="G39" s="46"/>
      <c r="H39" s="46"/>
      <c r="I39" s="46"/>
      <c r="J39" s="46"/>
      <c r="K39" s="46"/>
      <c r="L39" s="46"/>
      <c r="M39" s="46"/>
      <c r="N39" s="46"/>
      <c r="O39" s="46"/>
      <c r="P39" s="46"/>
      <c r="Q39" s="41"/>
      <c r="R39" s="41"/>
    </row>
    <row r="40" spans="1:18" x14ac:dyDescent="0.2">
      <c r="A40" s="46"/>
      <c r="B40" s="46"/>
      <c r="C40" s="46"/>
      <c r="D40" s="46"/>
      <c r="E40" s="46"/>
      <c r="F40" s="46"/>
      <c r="G40" s="46"/>
      <c r="H40" s="46"/>
      <c r="I40" s="46"/>
      <c r="J40" s="46"/>
      <c r="K40" s="46"/>
      <c r="L40" s="46"/>
      <c r="M40" s="46"/>
      <c r="N40" s="46"/>
      <c r="O40" s="46"/>
      <c r="P40" s="46"/>
      <c r="Q40" s="41"/>
      <c r="R40" s="41"/>
    </row>
    <row r="41" spans="1:18" x14ac:dyDescent="0.2">
      <c r="A41" s="46"/>
      <c r="B41" s="46"/>
      <c r="C41" s="46"/>
      <c r="D41" s="46"/>
      <c r="E41" s="46"/>
      <c r="F41" s="46"/>
      <c r="G41" s="46"/>
      <c r="H41" s="46"/>
      <c r="I41" s="46"/>
      <c r="J41" s="46"/>
      <c r="K41" s="46"/>
      <c r="L41" s="46"/>
      <c r="M41" s="46"/>
      <c r="N41" s="46"/>
      <c r="O41" s="46"/>
      <c r="P41" s="46"/>
      <c r="Q41" s="41"/>
      <c r="R41" s="41"/>
    </row>
    <row r="42" spans="1:18" x14ac:dyDescent="0.2">
      <c r="A42" s="46"/>
      <c r="B42" s="46"/>
      <c r="C42" s="46"/>
      <c r="D42" s="46"/>
      <c r="E42" s="46"/>
      <c r="F42" s="46"/>
      <c r="G42" s="46"/>
      <c r="H42" s="46"/>
      <c r="I42" s="46"/>
      <c r="J42" s="46"/>
      <c r="K42" s="46"/>
      <c r="L42" s="46"/>
      <c r="M42" s="46"/>
      <c r="N42" s="46"/>
      <c r="O42" s="46"/>
      <c r="P42" s="46"/>
      <c r="Q42" s="41"/>
      <c r="R42" s="41"/>
    </row>
    <row r="43" spans="1:18" x14ac:dyDescent="0.2">
      <c r="A43" s="46"/>
      <c r="B43" s="46"/>
      <c r="C43" s="46"/>
      <c r="D43" s="46"/>
      <c r="E43" s="46"/>
      <c r="F43" s="46"/>
      <c r="G43" s="46"/>
      <c r="H43" s="46"/>
      <c r="I43" s="46"/>
      <c r="J43" s="46"/>
      <c r="K43" s="46"/>
      <c r="L43" s="46"/>
      <c r="M43" s="46"/>
      <c r="N43" s="46"/>
      <c r="O43" s="46"/>
      <c r="P43" s="46"/>
      <c r="Q43" s="41"/>
      <c r="R43" s="41"/>
    </row>
    <row r="44" spans="1:18" x14ac:dyDescent="0.2">
      <c r="A44" s="46"/>
      <c r="B44" s="46"/>
      <c r="C44" s="46"/>
      <c r="D44" s="46"/>
      <c r="E44" s="46"/>
      <c r="F44" s="46"/>
      <c r="G44" s="46"/>
      <c r="H44" s="46"/>
      <c r="I44" s="46"/>
      <c r="J44" s="46"/>
      <c r="K44" s="46"/>
      <c r="L44" s="46"/>
      <c r="M44" s="46"/>
      <c r="N44" s="46"/>
      <c r="O44" s="46"/>
      <c r="P44" s="46"/>
      <c r="Q44" s="41"/>
      <c r="R44" s="41"/>
    </row>
    <row r="45" spans="1:18" x14ac:dyDescent="0.2">
      <c r="A45" s="46"/>
      <c r="B45" s="46"/>
      <c r="C45" s="46"/>
      <c r="D45" s="46"/>
      <c r="E45" s="46"/>
      <c r="F45" s="46"/>
      <c r="G45" s="46"/>
      <c r="H45" s="46"/>
      <c r="I45" s="46"/>
      <c r="J45" s="46"/>
      <c r="K45" s="46"/>
      <c r="L45" s="46"/>
      <c r="M45" s="46"/>
      <c r="N45" s="46"/>
      <c r="O45" s="46"/>
      <c r="P45" s="46"/>
      <c r="Q45" s="41"/>
      <c r="R45" s="41"/>
    </row>
    <row r="46" spans="1:18" x14ac:dyDescent="0.2">
      <c r="A46" s="46"/>
      <c r="B46" s="46"/>
      <c r="C46" s="46"/>
      <c r="D46" s="46"/>
      <c r="E46" s="46"/>
      <c r="F46" s="46"/>
      <c r="G46" s="46"/>
      <c r="H46" s="46"/>
      <c r="I46" s="46"/>
      <c r="J46" s="46"/>
      <c r="K46" s="46"/>
      <c r="L46" s="46"/>
      <c r="M46" s="46"/>
      <c r="N46" s="46"/>
      <c r="O46" s="46"/>
      <c r="P46" s="46"/>
      <c r="Q46" s="41"/>
      <c r="R46" s="41"/>
    </row>
    <row r="47" spans="1:18" x14ac:dyDescent="0.2">
      <c r="A47" s="46"/>
      <c r="B47" s="46"/>
      <c r="C47" s="46"/>
      <c r="D47" s="46"/>
      <c r="E47" s="46"/>
      <c r="F47" s="46"/>
      <c r="G47" s="46"/>
      <c r="H47" s="46"/>
      <c r="I47" s="46"/>
      <c r="J47" s="46"/>
      <c r="K47" s="46"/>
      <c r="L47" s="46"/>
      <c r="M47" s="46"/>
      <c r="N47" s="46"/>
      <c r="O47" s="46"/>
      <c r="P47" s="46"/>
      <c r="Q47" s="41"/>
      <c r="R47" s="41"/>
    </row>
    <row r="48" spans="1:18" x14ac:dyDescent="0.2">
      <c r="A48" s="46"/>
      <c r="B48" s="46"/>
      <c r="C48" s="46"/>
      <c r="D48" s="46"/>
      <c r="E48" s="46"/>
      <c r="F48" s="46"/>
      <c r="G48" s="46"/>
      <c r="H48" s="46"/>
      <c r="I48" s="46"/>
      <c r="J48" s="46"/>
      <c r="K48" s="46"/>
      <c r="L48" s="46"/>
      <c r="M48" s="46"/>
      <c r="N48" s="46"/>
      <c r="O48" s="46"/>
      <c r="P48" s="46"/>
      <c r="Q48" s="41"/>
      <c r="R48" s="41"/>
    </row>
    <row r="49" spans="1:18" x14ac:dyDescent="0.2">
      <c r="A49" s="46"/>
      <c r="B49" s="46"/>
      <c r="C49" s="46"/>
      <c r="D49" s="46"/>
      <c r="E49" s="46"/>
      <c r="F49" s="46"/>
      <c r="G49" s="46"/>
      <c r="H49" s="46"/>
      <c r="I49" s="46"/>
      <c r="J49" s="46"/>
      <c r="K49" s="46"/>
      <c r="L49" s="46"/>
      <c r="M49" s="46"/>
      <c r="N49" s="46"/>
      <c r="O49" s="46"/>
      <c r="P49" s="46"/>
      <c r="Q49" s="41"/>
      <c r="R49" s="41"/>
    </row>
    <row r="50" spans="1:18" x14ac:dyDescent="0.2">
      <c r="A50" s="46"/>
      <c r="B50" s="46"/>
      <c r="C50" s="46"/>
      <c r="D50" s="46"/>
      <c r="E50" s="46"/>
      <c r="F50" s="46"/>
      <c r="G50" s="46"/>
      <c r="H50" s="46"/>
      <c r="I50" s="46"/>
      <c r="J50" s="46"/>
      <c r="K50" s="46"/>
      <c r="L50" s="46"/>
      <c r="M50" s="46"/>
      <c r="N50" s="46"/>
      <c r="O50" s="46"/>
      <c r="P50" s="46"/>
      <c r="Q50" s="41"/>
      <c r="R50" s="41"/>
    </row>
    <row r="51" spans="1:18" x14ac:dyDescent="0.2">
      <c r="A51" s="46"/>
      <c r="B51" s="46"/>
      <c r="C51" s="46"/>
      <c r="D51" s="46"/>
      <c r="E51" s="46"/>
      <c r="F51" s="46"/>
      <c r="G51" s="46"/>
      <c r="H51" s="46"/>
      <c r="I51" s="46"/>
      <c r="J51" s="46"/>
      <c r="K51" s="46"/>
      <c r="L51" s="46"/>
      <c r="M51" s="46"/>
      <c r="N51" s="46"/>
      <c r="O51" s="46"/>
      <c r="P51" s="46"/>
      <c r="Q51" s="41"/>
      <c r="R51" s="41"/>
    </row>
    <row r="52" spans="1:18" x14ac:dyDescent="0.2">
      <c r="A52" s="46"/>
      <c r="B52" s="46"/>
      <c r="C52" s="46"/>
      <c r="D52" s="46"/>
      <c r="E52" s="46"/>
      <c r="F52" s="46"/>
      <c r="G52" s="46"/>
      <c r="H52" s="46"/>
      <c r="I52" s="46"/>
      <c r="J52" s="46"/>
      <c r="K52" s="46"/>
      <c r="L52" s="46"/>
      <c r="M52" s="46"/>
      <c r="N52" s="46"/>
      <c r="O52" s="46"/>
      <c r="P52" s="46"/>
      <c r="Q52" s="41"/>
      <c r="R52" s="41"/>
    </row>
    <row r="53" spans="1:18" x14ac:dyDescent="0.2">
      <c r="A53" s="46"/>
      <c r="B53" s="46"/>
      <c r="C53" s="46"/>
      <c r="D53" s="46"/>
      <c r="E53" s="46"/>
      <c r="F53" s="46"/>
      <c r="G53" s="46"/>
      <c r="H53" s="46"/>
      <c r="I53" s="46"/>
      <c r="J53" s="46"/>
      <c r="K53" s="46"/>
      <c r="L53" s="46"/>
      <c r="M53" s="46"/>
      <c r="N53" s="46"/>
      <c r="O53" s="46"/>
      <c r="P53" s="46"/>
      <c r="Q53" s="41"/>
      <c r="R53" s="41"/>
    </row>
    <row r="54" spans="1:18" x14ac:dyDescent="0.2">
      <c r="A54" s="46"/>
      <c r="B54" s="46"/>
      <c r="C54" s="46"/>
      <c r="D54" s="46"/>
      <c r="E54" s="46"/>
      <c r="F54" s="46"/>
      <c r="G54" s="46"/>
      <c r="H54" s="46"/>
      <c r="I54" s="46"/>
      <c r="J54" s="46"/>
      <c r="K54" s="46"/>
      <c r="L54" s="46"/>
      <c r="M54" s="46"/>
      <c r="N54" s="46"/>
      <c r="O54" s="46"/>
      <c r="P54" s="46"/>
      <c r="Q54" s="41"/>
      <c r="R54" s="41"/>
    </row>
    <row r="55" spans="1:18" x14ac:dyDescent="0.2">
      <c r="A55" s="46"/>
      <c r="B55" s="46"/>
      <c r="C55" s="46"/>
      <c r="D55" s="46"/>
      <c r="E55" s="46"/>
      <c r="F55" s="46"/>
      <c r="G55" s="46"/>
      <c r="H55" s="46"/>
      <c r="I55" s="46"/>
      <c r="J55" s="46"/>
      <c r="K55" s="46"/>
      <c r="L55" s="46"/>
      <c r="M55" s="46"/>
      <c r="N55" s="46"/>
      <c r="O55" s="46"/>
      <c r="P55" s="46"/>
      <c r="Q55" s="41"/>
      <c r="R55" s="41"/>
    </row>
    <row r="56" spans="1:18" x14ac:dyDescent="0.2">
      <c r="A56" s="46"/>
      <c r="B56" s="46"/>
      <c r="C56" s="46"/>
      <c r="D56" s="46"/>
      <c r="E56" s="46"/>
      <c r="F56" s="46"/>
      <c r="G56" s="46"/>
      <c r="H56" s="46"/>
      <c r="I56" s="46"/>
      <c r="J56" s="46"/>
      <c r="K56" s="46"/>
      <c r="L56" s="46"/>
      <c r="M56" s="46"/>
      <c r="N56" s="46"/>
      <c r="O56" s="46"/>
      <c r="P56" s="46"/>
      <c r="Q56" s="41"/>
      <c r="R56" s="41"/>
    </row>
    <row r="57" spans="1:18" x14ac:dyDescent="0.2">
      <c r="A57" s="46"/>
      <c r="B57" s="46"/>
      <c r="C57" s="46"/>
      <c r="D57" s="46"/>
      <c r="E57" s="46"/>
      <c r="F57" s="46"/>
      <c r="G57" s="46"/>
      <c r="H57" s="46"/>
      <c r="I57" s="46"/>
      <c r="J57" s="46"/>
      <c r="K57" s="46"/>
      <c r="L57" s="46"/>
      <c r="M57" s="46"/>
      <c r="N57" s="46"/>
      <c r="O57" s="46"/>
      <c r="P57" s="46"/>
      <c r="Q57" s="41"/>
      <c r="R57" s="41"/>
    </row>
    <row r="58" spans="1:18" x14ac:dyDescent="0.2">
      <c r="A58" s="46"/>
      <c r="B58" s="46"/>
      <c r="C58" s="46"/>
      <c r="D58" s="46"/>
      <c r="E58" s="46"/>
      <c r="F58" s="46"/>
      <c r="G58" s="46"/>
      <c r="H58" s="46"/>
      <c r="I58" s="46"/>
      <c r="J58" s="46"/>
      <c r="K58" s="46"/>
      <c r="L58" s="46"/>
      <c r="M58" s="46"/>
      <c r="N58" s="46"/>
      <c r="O58" s="46"/>
      <c r="P58" s="46"/>
      <c r="Q58" s="41"/>
      <c r="R58" s="41"/>
    </row>
    <row r="59" spans="1:18" x14ac:dyDescent="0.2">
      <c r="A59" s="46"/>
      <c r="B59" s="46"/>
      <c r="C59" s="46"/>
      <c r="D59" s="46"/>
      <c r="E59" s="46"/>
      <c r="F59" s="46"/>
      <c r="G59" s="46"/>
      <c r="H59" s="46"/>
      <c r="I59" s="46"/>
      <c r="J59" s="46"/>
      <c r="K59" s="46"/>
      <c r="L59" s="46"/>
      <c r="M59" s="46"/>
      <c r="N59" s="46"/>
      <c r="O59" s="46"/>
      <c r="P59" s="46"/>
      <c r="Q59" s="41"/>
      <c r="R59" s="41"/>
    </row>
    <row r="60" spans="1:18" x14ac:dyDescent="0.2">
      <c r="A60" s="46"/>
      <c r="B60" s="46"/>
      <c r="C60" s="46"/>
      <c r="D60" s="46"/>
      <c r="E60" s="46"/>
      <c r="F60" s="46"/>
      <c r="G60" s="46"/>
      <c r="H60" s="46"/>
      <c r="I60" s="46"/>
      <c r="J60" s="46"/>
      <c r="K60" s="46"/>
      <c r="L60" s="46"/>
      <c r="M60" s="46"/>
      <c r="N60" s="46"/>
      <c r="O60" s="46"/>
      <c r="P60" s="46"/>
      <c r="Q60" s="41"/>
      <c r="R60" s="41"/>
    </row>
    <row r="61" spans="1:18" x14ac:dyDescent="0.2">
      <c r="A61" s="46"/>
      <c r="B61" s="46"/>
      <c r="C61" s="46"/>
      <c r="D61" s="46"/>
      <c r="E61" s="46"/>
      <c r="F61" s="46"/>
      <c r="G61" s="46"/>
      <c r="H61" s="46"/>
      <c r="I61" s="46"/>
      <c r="J61" s="46"/>
      <c r="K61" s="46"/>
      <c r="L61" s="46"/>
      <c r="M61" s="46"/>
      <c r="N61" s="46"/>
      <c r="O61" s="46"/>
      <c r="P61" s="46"/>
      <c r="Q61" s="41"/>
      <c r="R61" s="41"/>
    </row>
    <row r="62" spans="1:18" x14ac:dyDescent="0.2">
      <c r="O62" s="41"/>
      <c r="P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AXON/explorer/revenue_proj" xr:uid="{81934C0A-B137-454E-BAB7-6F219E4E6A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2023-11-15T02:50:29Z</dcterms:modified>
</cp:coreProperties>
</file>