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43B3A67E-D9F0-A943-AE58-0B9E84FEC3F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J17" i="2"/>
  <c r="I17" i="2"/>
  <c r="H17" i="2"/>
  <c r="G17" i="2"/>
  <c r="F17" i="2"/>
  <c r="E17" i="2"/>
  <c r="D17" i="2"/>
  <c r="C17" i="2"/>
  <c r="B17" i="2"/>
  <c r="J14" i="2"/>
  <c r="I14" i="2"/>
  <c r="H14" i="2"/>
  <c r="G14" i="2"/>
  <c r="F14" i="2"/>
  <c r="E14" i="2"/>
  <c r="D14" i="2"/>
  <c r="C14" i="2"/>
  <c r="B14" i="2"/>
  <c r="O10" i="2" l="1"/>
  <c r="O9" i="2"/>
  <c r="O7" i="2"/>
  <c r="O19" i="2" s="1"/>
  <c r="G7" i="2"/>
  <c r="E7" i="2"/>
  <c r="O6" i="2"/>
  <c r="G6" i="2"/>
  <c r="E6" i="2"/>
  <c r="C6" i="2"/>
  <c r="O5" i="2"/>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5" i="2" l="1"/>
  <c r="K16" i="2"/>
  <c r="K13" i="2"/>
  <c r="K11" i="2"/>
  <c r="G4" i="2"/>
  <c r="O21" i="2"/>
  <c r="C7" i="2" s="1"/>
  <c r="A6" i="2"/>
  <c r="A7" i="2"/>
  <c r="O8" i="2"/>
  <c r="O12" i="2" s="1"/>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<sst xmlns="http://schemas.openxmlformats.org/spreadsheetml/2006/main" count="1398" uniqueCount="252">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</sst>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3" fontId="4" fillId="0" borderId="3" xfId="0" applyNumberFormat="1" applyFont="1" applyBorder="1"/>
    <xf numFmtId="3" fontId="4" fillId="4"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2" fillId="12" borderId="1" xfId="0" applyFont="1" applyFill="1" applyBorder="1" applyAlignment="1">
      <alignment vertical="center"/>
    </xf>
    <xf numFmtId="0" fontId="12" fillId="11" borderId="6" xfId="0" applyFont="1" applyFill="1" applyBorder="1" applyAlignment="1">
      <alignment horizontal="left" vertical="center" indent="2"/>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2"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25"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9" fontId="15"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6"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5" fillId="10" borderId="20" xfId="1" applyFont="1" applyFill="1" applyBorder="1" applyAlignment="1">
      <alignment horizontal="left" vertical="center" indent="1"/>
    </xf>
    <xf numFmtId="9" fontId="4" fillId="12" borderId="5" xfId="1" applyFont="1" applyFill="1" applyBorder="1" applyAlignment="1">
      <alignment horizontal="left" indent="1"/>
    </xf>
    <xf numFmtId="0" fontId="3" fillId="9" borderId="21" xfId="0" applyFont="1" applyFill="1" applyBorder="1" applyAlignment="1">
      <alignment horizontal="right" vertical="center"/>
    </xf>
    <xf numFmtId="0" fontId="19" fillId="9" borderId="22" xfId="0" applyFont="1" applyFill="1" applyBorder="1" applyAlignment="1">
      <alignment horizontal="right" vertical="center" indent="1"/>
    </xf>
    <xf numFmtId="0" fontId="19" fillId="9" borderId="23"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5" xfId="0" applyFont="1" applyFill="1" applyBorder="1" applyAlignment="1">
      <alignment horizontal="right" vertical="center" indent="1"/>
    </xf>
    <xf numFmtId="9" fontId="19"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1" borderId="5" xfId="0" applyFont="1" applyFill="1" applyBorder="1" applyAlignment="1">
      <alignment horizontal="left" vertical="center" indent="1"/>
    </xf>
    <xf numFmtId="9" fontId="19"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3" fillId="11" borderId="5" xfId="0" applyFont="1" applyFill="1" applyBorder="1" applyAlignment="1">
      <alignment horizontal="left" vertical="center" wrapText="1"/>
    </xf>
    <xf numFmtId="164" fontId="14" fillId="11" borderId="15" xfId="0" applyNumberFormat="1" applyFont="1" applyFill="1" applyBorder="1" applyAlignment="1">
      <alignment vertical="center"/>
    </xf>
    <xf numFmtId="0" fontId="17" fillId="11" borderId="5" xfId="0" applyFont="1" applyFill="1" applyBorder="1" applyAlignment="1">
      <alignment horizontal="left" vertical="center" wrapText="1"/>
    </xf>
    <xf numFmtId="10" fontId="18" fillId="11" borderId="15" xfId="0" applyNumberFormat="1" applyFont="1" applyFill="1" applyBorder="1" applyAlignment="1">
      <alignment vertical="center"/>
    </xf>
    <xf numFmtId="10" fontId="14" fillId="11" borderId="15" xfId="0" applyNumberFormat="1" applyFont="1" applyFill="1" applyBorder="1" applyAlignment="1">
      <alignment vertical="center"/>
    </xf>
    <xf numFmtId="2" fontId="14" fillId="11" borderId="15" xfId="0" applyNumberFormat="1" applyFont="1" applyFill="1" applyBorder="1" applyAlignment="1">
      <alignment vertical="center"/>
    </xf>
    <xf numFmtId="0" fontId="17" fillId="11" borderId="25" xfId="0" applyFont="1" applyFill="1" applyBorder="1" applyAlignment="1">
      <alignment horizontal="left" vertical="center" wrapText="1"/>
    </xf>
    <xf numFmtId="10" fontId="18" fillId="11" borderId="27" xfId="0" applyNumberFormat="1" applyFont="1" applyFill="1" applyBorder="1" applyAlignment="1">
      <alignment vertical="center"/>
    </xf>
    <xf numFmtId="164" fontId="14" fillId="11" borderId="15" xfId="0" applyNumberFormat="1" applyFont="1" applyFill="1" applyBorder="1" applyAlignment="1">
      <alignment horizontal="right" vertical="center"/>
    </xf>
    <xf numFmtId="10" fontId="18" fillId="11" borderId="15" xfId="0" applyNumberFormat="1" applyFont="1" applyFill="1" applyBorder="1" applyAlignment="1">
      <alignment horizontal="right" vertical="center"/>
    </xf>
    <xf numFmtId="10" fontId="18"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19" fillId="9" borderId="25" xfId="1" applyNumberFormat="1" applyFont="1" applyFill="1" applyBorder="1" applyAlignment="1">
      <alignment horizontal="center" vertical="center"/>
    </xf>
    <xf numFmtId="10" fontId="19" fillId="9" borderId="27"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9" fillId="11" borderId="6" xfId="1" applyFont="1" applyFill="1" applyBorder="1" applyAlignment="1">
      <alignment horizontal="center" vertical="center"/>
    </xf>
    <xf numFmtId="9" fontId="19"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wrapText="1" indent="3"/>
    </xf>
    <xf numFmtId="0" fontId="12"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https://www.bing.com/financeapi/forcetrigger?t=a1rzh7&amp;q=XNAS%3aENPH&amp;form=skydnc</v>
    <v>Learn more on Bing</v>
  </rv>
  <rv s="1">
    <v>0</v>
    <v>ENPHASE ENERGY, INC. (XNAS:ENPH)</v>
    <v>2</v>
    <v>3</v>
    <v>Finance</v>
    <v>4</v>
    <v>en-US</v>
    <v>a1rzh7</v>
    <v>268435456</v>
    <v>1</v>
    <v>Powered by Refinitiv</v>
    <v>339.92</v>
    <v>73.489999999999995</v>
    <v>1.6049</v>
    <v>5.5</v>
    <v>5.4444999999999993E-2</v>
    <v>0.48</v>
    <v>4.5059999999999996E-3</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106.74</v>
    <v>Renewable Energy</v>
    <v>Stock</v>
    <v>45261.905302152343</v>
    <v>0</v>
    <v>98.88</v>
    <v>14545433824</v>
    <v>ENPHASE ENERGY, INC.</v>
    <v>ENPHASE ENERGY, INC.</v>
    <v>100.17</v>
    <v>25.645700000000001</v>
    <v>101.02</v>
    <v>106.52</v>
    <v>107</v>
    <v>136551200</v>
    <v>ENPH</v>
    <v>ENPHASE ENERGY, INC. (XNAS:ENPH)</v>
    <v>4326050</v>
    <v>5895222</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NPH%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M:ENP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2" workbookViewId="0">
      <pane xSplit="1" topLeftCell="I1" activePane="topRight" state="frozen"/>
      <selection activeCell="A117" sqref="A117"/>
      <selection pane="topRight" activeCell="O173" sqref="O173"/>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61661000</v>
      </c>
      <c r="C2" s="26">
        <v>149523000</v>
      </c>
      <c r="D2" s="26">
        <v>216678000</v>
      </c>
      <c r="E2" s="26">
        <v>232846000</v>
      </c>
      <c r="F2" s="26">
        <v>343904000</v>
      </c>
      <c r="G2" s="26">
        <v>357249000</v>
      </c>
      <c r="H2" s="26">
        <v>322591000</v>
      </c>
      <c r="I2" s="26">
        <v>286166000</v>
      </c>
      <c r="J2" s="26">
        <v>316159000</v>
      </c>
      <c r="K2" s="26">
        <v>624333000</v>
      </c>
      <c r="L2" s="26">
        <v>774425000</v>
      </c>
      <c r="M2" s="26">
        <v>1382049000</v>
      </c>
      <c r="N2" s="26">
        <v>2330853000</v>
      </c>
      <c r="O2" s="27">
        <v>2796499000</v>
      </c>
      <c r="P2" s="26">
        <v>634713000</v>
      </c>
      <c r="Q2" s="26">
        <v>724652000</v>
      </c>
      <c r="R2" s="26">
        <v>726016000</v>
      </c>
      <c r="S2" s="26">
        <v>711118000</v>
      </c>
    </row>
    <row r="3" spans="1:19" ht="16" x14ac:dyDescent="0.2">
      <c r="A3" s="9" t="s">
        <v>191</v>
      </c>
      <c r="B3" s="10"/>
      <c r="C3" s="11">
        <f t="shared" ref="C3:O3" si="0">(C2/B2)-1</f>
        <v>1.4249201277955272</v>
      </c>
      <c r="D3" s="11">
        <f t="shared" si="0"/>
        <v>0.44912822776429051</v>
      </c>
      <c r="E3" s="11">
        <f t="shared" si="0"/>
        <v>7.4617635385225922E-2</v>
      </c>
      <c r="F3" s="11">
        <f t="shared" si="0"/>
        <v>0.47695902012488944</v>
      </c>
      <c r="G3" s="11">
        <f t="shared" si="0"/>
        <v>3.8804433795477822E-2</v>
      </c>
      <c r="H3" s="11">
        <f t="shared" si="0"/>
        <v>-9.7013567567718839E-2</v>
      </c>
      <c r="I3" s="11">
        <f t="shared" si="0"/>
        <v>-0.11291387546459764</v>
      </c>
      <c r="J3" s="11">
        <f t="shared" si="0"/>
        <v>0.10480979571297788</v>
      </c>
      <c r="K3" s="11">
        <f t="shared" si="0"/>
        <v>0.97474372072280091</v>
      </c>
      <c r="L3" s="11">
        <f t="shared" si="0"/>
        <v>0.24040375889148891</v>
      </c>
      <c r="M3" s="11">
        <f t="shared" si="0"/>
        <v>0.78461310004196672</v>
      </c>
      <c r="N3" s="11">
        <f t="shared" si="0"/>
        <v>0.68651979777851579</v>
      </c>
      <c r="O3" s="11">
        <f t="shared" si="0"/>
        <v>0.19977493218148035</v>
      </c>
      <c r="P3" s="11"/>
      <c r="Q3" s="11">
        <f>(Q2/P2)-1</f>
        <v>0.14170026452900752</v>
      </c>
      <c r="R3" s="11">
        <f>(R2/Q2)-1</f>
        <v>1.8822828060918173E-3</v>
      </c>
      <c r="S3" s="11">
        <f>(S2/R2)-1</f>
        <v>-2.052020892101547E-2</v>
      </c>
    </row>
    <row r="4" spans="1:19" ht="16" x14ac:dyDescent="0.2">
      <c r="A4" s="3" t="s">
        <v>19</v>
      </c>
      <c r="B4" s="4">
        <v>61661000</v>
      </c>
      <c r="C4" s="4">
        <v>149523000</v>
      </c>
      <c r="D4" s="4">
        <v>216678000</v>
      </c>
      <c r="E4" s="4">
        <v>232846000</v>
      </c>
      <c r="F4" s="4">
        <v>343904000</v>
      </c>
      <c r="G4" s="4">
        <v>357249000</v>
      </c>
      <c r="H4" s="4">
        <v>322591000</v>
      </c>
      <c r="I4" s="4">
        <v>286166000</v>
      </c>
      <c r="J4" s="4">
        <v>316159000</v>
      </c>
      <c r="K4" s="4">
        <v>624333000</v>
      </c>
      <c r="L4" s="4">
        <v>774425000</v>
      </c>
      <c r="M4" s="4">
        <v>1382049000</v>
      </c>
      <c r="N4" s="4">
        <v>2330853000</v>
      </c>
      <c r="O4" s="5">
        <v>2796499000</v>
      </c>
      <c r="P4" s="4">
        <v>634713000</v>
      </c>
      <c r="Q4" s="4">
        <v>724652000</v>
      </c>
      <c r="R4" s="4">
        <v>726016000</v>
      </c>
      <c r="S4" s="4">
        <v>711118000</v>
      </c>
    </row>
    <row r="5" spans="1:19" ht="16" x14ac:dyDescent="0.2">
      <c r="A5" s="3" t="s">
        <v>20</v>
      </c>
      <c r="B5" s="4">
        <v>55159000</v>
      </c>
      <c r="C5" s="4">
        <v>120454000</v>
      </c>
      <c r="D5" s="4">
        <v>161390000</v>
      </c>
      <c r="E5" s="4">
        <v>165430000</v>
      </c>
      <c r="F5" s="4">
        <v>230861000</v>
      </c>
      <c r="G5" s="4">
        <v>249032000</v>
      </c>
      <c r="H5" s="4">
        <v>264583000</v>
      </c>
      <c r="I5" s="4">
        <v>230123000</v>
      </c>
      <c r="J5" s="4">
        <v>221714000</v>
      </c>
      <c r="K5" s="4">
        <v>403088000</v>
      </c>
      <c r="L5" s="4">
        <v>428444000</v>
      </c>
      <c r="M5" s="4">
        <v>827627000</v>
      </c>
      <c r="N5" s="4">
        <v>1356258000</v>
      </c>
      <c r="O5" s="5">
        <v>1568169000</v>
      </c>
      <c r="P5" s="4">
        <v>366797000</v>
      </c>
      <c r="Q5" s="4">
        <v>413951000</v>
      </c>
      <c r="R5" s="4">
        <v>399645000</v>
      </c>
      <c r="S5" s="4">
        <v>387776000</v>
      </c>
    </row>
    <row r="6" spans="1:19" ht="16" x14ac:dyDescent="0.2">
      <c r="A6" s="3" t="s">
        <v>21</v>
      </c>
      <c r="B6" s="4">
        <v>55159000</v>
      </c>
      <c r="C6" s="4">
        <v>120454000</v>
      </c>
      <c r="D6" s="4">
        <v>161390000</v>
      </c>
      <c r="E6" s="4">
        <v>165430000</v>
      </c>
      <c r="F6" s="4">
        <v>230861000</v>
      </c>
      <c r="G6" s="4">
        <v>249032000</v>
      </c>
      <c r="H6" s="4">
        <v>264583000</v>
      </c>
      <c r="I6" s="4">
        <v>230123000</v>
      </c>
      <c r="J6" s="4">
        <v>221714000</v>
      </c>
      <c r="K6" s="4">
        <v>403088000</v>
      </c>
      <c r="L6" s="4">
        <v>428444000</v>
      </c>
      <c r="M6" s="4">
        <v>827627000</v>
      </c>
      <c r="N6" s="4">
        <v>1356258000</v>
      </c>
      <c r="O6" s="5">
        <v>1568169000</v>
      </c>
      <c r="P6" s="4">
        <v>366797000</v>
      </c>
      <c r="Q6" s="4">
        <v>413951000</v>
      </c>
      <c r="R6" s="4">
        <v>399645000</v>
      </c>
      <c r="S6" s="4">
        <v>387776000</v>
      </c>
    </row>
    <row r="7" spans="1:19" ht="16" x14ac:dyDescent="0.2">
      <c r="A7" s="34" t="s">
        <v>22</v>
      </c>
      <c r="B7" s="30">
        <v>6502000</v>
      </c>
      <c r="C7" s="30">
        <v>29069000</v>
      </c>
      <c r="D7" s="30">
        <v>55288000</v>
      </c>
      <c r="E7" s="30">
        <v>67416000</v>
      </c>
      <c r="F7" s="30">
        <v>113043000</v>
      </c>
      <c r="G7" s="30">
        <v>108217000</v>
      </c>
      <c r="H7" s="30">
        <v>58008000</v>
      </c>
      <c r="I7" s="30">
        <v>56043000</v>
      </c>
      <c r="J7" s="30">
        <v>94445000</v>
      </c>
      <c r="K7" s="30">
        <v>221245000</v>
      </c>
      <c r="L7" s="30">
        <v>345981000</v>
      </c>
      <c r="M7" s="30">
        <v>554422000</v>
      </c>
      <c r="N7" s="30">
        <v>974595000</v>
      </c>
      <c r="O7" s="31">
        <v>1228330000</v>
      </c>
      <c r="P7" s="30">
        <v>267916000</v>
      </c>
      <c r="Q7" s="30">
        <v>310701000</v>
      </c>
      <c r="R7" s="30">
        <v>326371000</v>
      </c>
      <c r="S7" s="30">
        <v>323342000</v>
      </c>
    </row>
    <row r="8" spans="1:19" ht="16" x14ac:dyDescent="0.2">
      <c r="A8" s="29" t="s">
        <v>58</v>
      </c>
      <c r="B8" s="32">
        <v>10.54</v>
      </c>
      <c r="C8" s="32">
        <v>19.440000000000001</v>
      </c>
      <c r="D8" s="32">
        <v>25.52</v>
      </c>
      <c r="E8" s="32">
        <v>28.95</v>
      </c>
      <c r="F8" s="32">
        <v>32.869999999999997</v>
      </c>
      <c r="G8" s="32">
        <v>30.29</v>
      </c>
      <c r="H8" s="32">
        <v>17.98</v>
      </c>
      <c r="I8" s="32">
        <v>19.579999999999998</v>
      </c>
      <c r="J8" s="32">
        <v>29.87</v>
      </c>
      <c r="K8" s="32">
        <v>35.44</v>
      </c>
      <c r="L8" s="32">
        <v>44.68</v>
      </c>
      <c r="M8" s="32">
        <v>40.119999999999997</v>
      </c>
      <c r="N8" s="32">
        <v>41.81</v>
      </c>
      <c r="O8" s="33">
        <v>43.92</v>
      </c>
      <c r="P8" s="32">
        <v>42.21</v>
      </c>
      <c r="Q8" s="32">
        <v>42.88</v>
      </c>
      <c r="R8" s="32">
        <v>44.95</v>
      </c>
      <c r="S8" s="32">
        <v>45.47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27219000</v>
      </c>
      <c r="C10" s="4">
        <v>57781000</v>
      </c>
      <c r="D10" s="4">
        <v>86449000</v>
      </c>
      <c r="E10" s="4">
        <v>89574000</v>
      </c>
      <c r="F10" s="4">
        <v>117472000</v>
      </c>
      <c r="G10" s="4">
        <v>127526000</v>
      </c>
      <c r="H10" s="4">
        <v>116931000</v>
      </c>
      <c r="I10" s="4">
        <v>78504000</v>
      </c>
      <c r="J10" s="4">
        <v>88720000</v>
      </c>
      <c r="K10" s="4">
        <v>115917000</v>
      </c>
      <c r="L10" s="4">
        <v>159542000</v>
      </c>
      <c r="M10" s="4">
        <v>338590000</v>
      </c>
      <c r="N10" s="4">
        <v>523950000</v>
      </c>
      <c r="O10" s="5">
        <v>594692000</v>
      </c>
      <c r="P10" s="4">
        <v>131881000</v>
      </c>
      <c r="Q10" s="4">
        <v>151951000</v>
      </c>
      <c r="R10" s="4">
        <v>158015000</v>
      </c>
      <c r="S10" s="4">
        <v>152845000</v>
      </c>
    </row>
    <row r="11" spans="1:19" ht="16" x14ac:dyDescent="0.2">
      <c r="A11" s="3" t="s">
        <v>26</v>
      </c>
      <c r="B11" s="4">
        <v>12923000</v>
      </c>
      <c r="C11" s="4">
        <v>32682000</v>
      </c>
      <c r="D11" s="4">
        <v>50848000</v>
      </c>
      <c r="E11" s="4">
        <v>55050000</v>
      </c>
      <c r="F11" s="4">
        <v>72086000</v>
      </c>
      <c r="G11" s="4">
        <v>76707000</v>
      </c>
      <c r="H11" s="4">
        <v>66228000</v>
      </c>
      <c r="I11" s="4">
        <v>45347000</v>
      </c>
      <c r="J11" s="4">
        <v>56133000</v>
      </c>
      <c r="K11" s="4">
        <v>75536000</v>
      </c>
      <c r="L11" s="4">
        <v>103621000</v>
      </c>
      <c r="M11" s="4">
        <v>233064000</v>
      </c>
      <c r="N11" s="4">
        <v>355104000</v>
      </c>
      <c r="O11" s="5">
        <v>383649000</v>
      </c>
      <c r="P11" s="4">
        <v>87693000</v>
      </c>
      <c r="Q11" s="4">
        <v>102268000</v>
      </c>
      <c r="R11" s="4">
        <v>100886000</v>
      </c>
      <c r="S11" s="4">
        <v>92802000</v>
      </c>
    </row>
    <row r="12" spans="1:19" ht="16" x14ac:dyDescent="0.2">
      <c r="A12" s="12" t="s">
        <v>192</v>
      </c>
      <c r="B12" s="11">
        <f t="shared" ref="B12:S12" si="1">B11/B2</f>
        <v>0.20958142099544283</v>
      </c>
      <c r="C12" s="11">
        <f t="shared" si="1"/>
        <v>0.21857506871852492</v>
      </c>
      <c r="D12" s="11">
        <f t="shared" si="1"/>
        <v>0.23467080183498093</v>
      </c>
      <c r="E12" s="11">
        <f t="shared" si="1"/>
        <v>0.23642235640723913</v>
      </c>
      <c r="F12" s="11">
        <f t="shared" si="1"/>
        <v>0.20961082162463943</v>
      </c>
      <c r="G12" s="11">
        <f t="shared" si="1"/>
        <v>0.21471578646826164</v>
      </c>
      <c r="H12" s="11">
        <f t="shared" si="1"/>
        <v>0.20530020986326339</v>
      </c>
      <c r="I12" s="11">
        <f t="shared" si="1"/>
        <v>0.15846396846585548</v>
      </c>
      <c r="J12" s="11">
        <f t="shared" si="1"/>
        <v>0.17754674072223153</v>
      </c>
      <c r="K12" s="11">
        <f t="shared" si="1"/>
        <v>0.12098671702440845</v>
      </c>
      <c r="L12" s="11">
        <f t="shared" si="1"/>
        <v>0.13380378990864189</v>
      </c>
      <c r="M12" s="11">
        <f t="shared" si="1"/>
        <v>0.1686365678785629</v>
      </c>
      <c r="N12" s="11">
        <f t="shared" si="1"/>
        <v>0.15234937595807199</v>
      </c>
      <c r="O12" s="11">
        <f t="shared" si="1"/>
        <v>0.13718903529019677</v>
      </c>
      <c r="P12" s="11">
        <f t="shared" si="1"/>
        <v>0.13816165731598376</v>
      </c>
      <c r="Q12" s="11">
        <f t="shared" si="1"/>
        <v>0.14112705132946574</v>
      </c>
      <c r="R12" s="11">
        <f t="shared" si="1"/>
        <v>0.13895837006346967</v>
      </c>
      <c r="S12" s="11">
        <f t="shared" si="1"/>
        <v>0.13050154826625118</v>
      </c>
    </row>
    <row r="13" spans="1:19" ht="16" x14ac:dyDescent="0.2">
      <c r="A13" s="3" t="s">
        <v>27</v>
      </c>
      <c r="B13" s="4">
        <v>14296000</v>
      </c>
      <c r="C13" s="4">
        <v>25099000</v>
      </c>
      <c r="D13" s="4">
        <v>35601000</v>
      </c>
      <c r="E13" s="4">
        <v>34524000</v>
      </c>
      <c r="F13" s="4">
        <v>45386000</v>
      </c>
      <c r="G13" s="4">
        <v>50819000</v>
      </c>
      <c r="H13" s="4">
        <v>50703000</v>
      </c>
      <c r="I13" s="4">
        <v>33157000</v>
      </c>
      <c r="J13" s="4">
        <v>32587000</v>
      </c>
      <c r="K13" s="4">
        <v>40381000</v>
      </c>
      <c r="L13" s="4">
        <v>55921000</v>
      </c>
      <c r="M13" s="4">
        <v>105526000</v>
      </c>
      <c r="N13" s="4">
        <v>168846000</v>
      </c>
      <c r="O13" s="5">
        <v>211043000</v>
      </c>
      <c r="P13" s="4">
        <v>44188000</v>
      </c>
      <c r="Q13" s="4">
        <v>49683000</v>
      </c>
      <c r="R13" s="4">
        <v>57129000</v>
      </c>
      <c r="S13" s="4">
        <v>60043000</v>
      </c>
    </row>
    <row r="14" spans="1:19" ht="16" x14ac:dyDescent="0.2">
      <c r="A14" s="12" t="s">
        <v>193</v>
      </c>
      <c r="B14" s="11">
        <f t="shared" ref="B14:S14" si="2">B13/B2</f>
        <v>0.2318483320088873</v>
      </c>
      <c r="C14" s="11">
        <f t="shared" si="2"/>
        <v>0.1678604629388121</v>
      </c>
      <c r="D14" s="11">
        <f t="shared" si="2"/>
        <v>0.16430371334422508</v>
      </c>
      <c r="E14" s="11">
        <f t="shared" si="2"/>
        <v>0.14826967180024567</v>
      </c>
      <c r="F14" s="11">
        <f t="shared" si="2"/>
        <v>0.13197287615148415</v>
      </c>
      <c r="G14" s="11">
        <f t="shared" si="2"/>
        <v>0.14225092302567677</v>
      </c>
      <c r="H14" s="11">
        <f t="shared" si="2"/>
        <v>0.15717425470642393</v>
      </c>
      <c r="I14" s="11">
        <f t="shared" si="2"/>
        <v>0.11586631535542308</v>
      </c>
      <c r="J14" s="11">
        <f t="shared" si="2"/>
        <v>0.10307155576782569</v>
      </c>
      <c r="K14" s="11">
        <f t="shared" si="2"/>
        <v>6.467862502863056E-2</v>
      </c>
      <c r="L14" s="11">
        <f t="shared" si="2"/>
        <v>7.2209703973916128E-2</v>
      </c>
      <c r="M14" s="11">
        <f t="shared" si="2"/>
        <v>7.6354745743457728E-2</v>
      </c>
      <c r="N14" s="11">
        <f t="shared" si="2"/>
        <v>7.2439574696473774E-2</v>
      </c>
      <c r="O14" s="11">
        <f t="shared" si="2"/>
        <v>7.546686052811033E-2</v>
      </c>
      <c r="P14" s="11">
        <f t="shared" si="2"/>
        <v>6.961886711001665E-2</v>
      </c>
      <c r="Q14" s="11">
        <f t="shared" si="2"/>
        <v>6.8561185230979829E-2</v>
      </c>
      <c r="R14" s="11">
        <f t="shared" si="2"/>
        <v>7.8688348466149513E-2</v>
      </c>
      <c r="S14" s="11">
        <f t="shared" si="2"/>
        <v>8.4434650789320484E-2</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28" t="s">
        <v>29</v>
      </c>
      <c r="B16" s="26">
        <v>-20717000</v>
      </c>
      <c r="C16" s="26">
        <v>-28712000</v>
      </c>
      <c r="D16" s="26">
        <v>-31161000</v>
      </c>
      <c r="E16" s="26">
        <v>-22158000</v>
      </c>
      <c r="F16" s="26">
        <v>-4429000</v>
      </c>
      <c r="G16" s="26">
        <v>-19309000</v>
      </c>
      <c r="H16" s="26">
        <v>-58923000</v>
      </c>
      <c r="I16" s="26">
        <v>-22461000</v>
      </c>
      <c r="J16" s="26">
        <v>5725000</v>
      </c>
      <c r="K16" s="26">
        <v>105328000</v>
      </c>
      <c r="L16" s="26">
        <v>186439000</v>
      </c>
      <c r="M16" s="26">
        <v>215832000</v>
      </c>
      <c r="N16" s="26">
        <v>450645000</v>
      </c>
      <c r="O16" s="27">
        <v>633638000</v>
      </c>
      <c r="P16" s="26">
        <v>136035000</v>
      </c>
      <c r="Q16" s="26">
        <v>158750000</v>
      </c>
      <c r="R16" s="26">
        <v>168356000</v>
      </c>
      <c r="S16" s="26">
        <v>170497000</v>
      </c>
    </row>
    <row r="17" spans="1:19" ht="16" x14ac:dyDescent="0.2">
      <c r="A17" s="23" t="s">
        <v>59</v>
      </c>
      <c r="B17" s="35">
        <v>-33.6</v>
      </c>
      <c r="C17" s="35">
        <v>-19.2</v>
      </c>
      <c r="D17" s="35">
        <v>-14.38</v>
      </c>
      <c r="E17" s="35">
        <v>-9.52</v>
      </c>
      <c r="F17" s="35">
        <v>-1.29</v>
      </c>
      <c r="G17" s="35">
        <v>-5.4</v>
      </c>
      <c r="H17" s="35">
        <v>-18.27</v>
      </c>
      <c r="I17" s="35">
        <v>-7.85</v>
      </c>
      <c r="J17" s="35">
        <v>1.81</v>
      </c>
      <c r="K17" s="35">
        <v>16.87</v>
      </c>
      <c r="L17" s="35">
        <v>24.07</v>
      </c>
      <c r="M17" s="35">
        <v>15.62</v>
      </c>
      <c r="N17" s="35">
        <v>19.329999999999998</v>
      </c>
      <c r="O17" s="36">
        <v>22.66</v>
      </c>
      <c r="P17" s="35">
        <v>21.43</v>
      </c>
      <c r="Q17" s="35">
        <v>21.91</v>
      </c>
      <c r="R17" s="35">
        <v>23.19</v>
      </c>
      <c r="S17" s="35">
        <v>23.98</v>
      </c>
    </row>
    <row r="18" spans="1:19" ht="16" x14ac:dyDescent="0.2">
      <c r="A18" s="13" t="s">
        <v>194</v>
      </c>
      <c r="B18" s="10"/>
      <c r="C18" s="11">
        <f>(C16/B16)-1</f>
        <v>0.38591494907563839</v>
      </c>
      <c r="D18" s="11">
        <f>(D16/C16)-1</f>
        <v>8.5295346893285107E-2</v>
      </c>
      <c r="E18" s="11">
        <f>(E16/D16)-1</f>
        <v>-0.28891884085876574</v>
      </c>
      <c r="F18" s="11">
        <f t="shared" ref="F18:N18" si="3">(F16/E16)-1</f>
        <v>-0.80011733911002803</v>
      </c>
      <c r="G18" s="11">
        <f t="shared" si="3"/>
        <v>3.3596748701738539</v>
      </c>
      <c r="H18" s="11">
        <f t="shared" si="3"/>
        <v>2.0515821637578333</v>
      </c>
      <c r="I18" s="11">
        <f t="shared" si="3"/>
        <v>-0.6188075963545645</v>
      </c>
      <c r="J18" s="11">
        <f t="shared" si="3"/>
        <v>-1.2548862472730511</v>
      </c>
      <c r="K18" s="11">
        <f t="shared" si="3"/>
        <v>17.397903930131005</v>
      </c>
      <c r="L18" s="11">
        <f t="shared" si="3"/>
        <v>0.77008013063952596</v>
      </c>
      <c r="M18" s="11">
        <f t="shared" si="3"/>
        <v>0.15765478252940635</v>
      </c>
      <c r="N18" s="11">
        <f t="shared" si="3"/>
        <v>1.0879434004225508</v>
      </c>
      <c r="O18" s="11">
        <f>(O16/N16)-1</f>
        <v>0.40606907876488152</v>
      </c>
      <c r="P18" s="11"/>
      <c r="Q18" s="11">
        <f>(Q16/P16)-1</f>
        <v>0.16697908626456437</v>
      </c>
      <c r="R18" s="11">
        <f>(R16/Q16)-1</f>
        <v>6.0510236220472358E-2</v>
      </c>
      <c r="S18" s="11">
        <f>(S16/R16)-1</f>
        <v>1.2717099479673921E-2</v>
      </c>
    </row>
    <row r="19" spans="1:19" ht="16" x14ac:dyDescent="0.2">
      <c r="A19" s="3" t="s">
        <v>30</v>
      </c>
      <c r="B19" s="4">
        <v>1060000</v>
      </c>
      <c r="C19" s="4">
        <v>3578000</v>
      </c>
      <c r="D19" s="4">
        <v>6406000</v>
      </c>
      <c r="E19" s="4">
        <v>2892000</v>
      </c>
      <c r="F19" s="4">
        <v>2857000</v>
      </c>
      <c r="G19" s="4">
        <v>1394000</v>
      </c>
      <c r="H19" s="4">
        <v>7064000</v>
      </c>
      <c r="I19" s="4">
        <v>22880000</v>
      </c>
      <c r="J19" s="4">
        <v>15954000</v>
      </c>
      <c r="K19" s="4">
        <v>15214000</v>
      </c>
      <c r="L19" s="4">
        <v>67029000</v>
      </c>
      <c r="M19" s="4">
        <v>94904000</v>
      </c>
      <c r="N19" s="4">
        <v>-1403000</v>
      </c>
      <c r="O19" s="5">
        <v>-32362000</v>
      </c>
      <c r="P19" s="4">
        <v>1780000</v>
      </c>
      <c r="Q19" s="4">
        <v>-9428000</v>
      </c>
      <c r="R19" s="4">
        <v>-10617000</v>
      </c>
      <c r="S19" s="4">
        <v>-14097000</v>
      </c>
    </row>
    <row r="20" spans="1:19" ht="16" x14ac:dyDescent="0.2">
      <c r="A20" s="3" t="s">
        <v>31</v>
      </c>
      <c r="B20" s="4">
        <v>875000</v>
      </c>
      <c r="C20" s="4">
        <v>3002000</v>
      </c>
      <c r="D20" s="4">
        <v>6419000</v>
      </c>
      <c r="E20" s="4">
        <v>2055000</v>
      </c>
      <c r="F20" s="4">
        <v>1863000</v>
      </c>
      <c r="G20" s="4">
        <v>501000</v>
      </c>
      <c r="H20" s="4">
        <v>2773000</v>
      </c>
      <c r="I20" s="4">
        <v>7660000</v>
      </c>
      <c r="J20" s="4">
        <v>8577000</v>
      </c>
      <c r="K20" s="4">
        <v>7178000</v>
      </c>
      <c r="L20" s="4">
        <v>18845000</v>
      </c>
      <c r="M20" s="4">
        <v>44457000</v>
      </c>
      <c r="N20" s="4">
        <v>-4218000</v>
      </c>
      <c r="O20" s="5">
        <v>-33057000</v>
      </c>
      <c r="P20" s="4">
        <v>-1425000</v>
      </c>
      <c r="Q20" s="4">
        <v>-6441000</v>
      </c>
      <c r="R20" s="4">
        <v>-10884000</v>
      </c>
      <c r="S20" s="4">
        <v>-14307000</v>
      </c>
    </row>
    <row r="21" spans="1:19" ht="16" x14ac:dyDescent="0.2">
      <c r="A21" s="3" t="s">
        <v>32</v>
      </c>
      <c r="B21" s="4">
        <v>914000</v>
      </c>
      <c r="C21" s="4">
        <v>3006000</v>
      </c>
      <c r="D21" s="4">
        <v>6436000</v>
      </c>
      <c r="E21" s="4">
        <v>2055000</v>
      </c>
      <c r="F21" s="4">
        <v>1863000</v>
      </c>
      <c r="G21" s="4">
        <v>501000</v>
      </c>
      <c r="H21" s="4">
        <v>2773000</v>
      </c>
      <c r="I21" s="4">
        <v>7936000</v>
      </c>
      <c r="J21" s="4">
        <v>9635000</v>
      </c>
      <c r="K21" s="4">
        <v>9691000</v>
      </c>
      <c r="L21" s="4">
        <v>21001000</v>
      </c>
      <c r="M21" s="4">
        <v>45152000</v>
      </c>
      <c r="N21" s="4">
        <v>9438000</v>
      </c>
      <c r="O21" s="5">
        <v>8909000</v>
      </c>
      <c r="P21" s="4">
        <v>2255000</v>
      </c>
      <c r="Q21" s="4">
        <v>2279000</v>
      </c>
      <c r="R21" s="4">
        <v>2156000</v>
      </c>
      <c r="S21" s="4">
        <v>2219000</v>
      </c>
    </row>
    <row r="22" spans="1:19" ht="16" x14ac:dyDescent="0.2">
      <c r="A22" s="3" t="s">
        <v>33</v>
      </c>
      <c r="B22" s="4">
        <v>39000</v>
      </c>
      <c r="C22" s="4">
        <v>4000</v>
      </c>
      <c r="D22" s="4">
        <v>17000</v>
      </c>
      <c r="E22" s="4" t="s">
        <v>24</v>
      </c>
      <c r="F22" s="4" t="s">
        <v>24</v>
      </c>
      <c r="G22" s="4" t="s">
        <v>24</v>
      </c>
      <c r="H22" s="4" t="s">
        <v>24</v>
      </c>
      <c r="I22" s="4">
        <v>276000</v>
      </c>
      <c r="J22" s="4">
        <v>1058000</v>
      </c>
      <c r="K22" s="4">
        <v>2513000</v>
      </c>
      <c r="L22" s="4">
        <v>2156000</v>
      </c>
      <c r="M22" s="4">
        <v>695000</v>
      </c>
      <c r="N22" s="4">
        <v>13656000</v>
      </c>
      <c r="O22" s="5">
        <v>41966000</v>
      </c>
      <c r="P22" s="4">
        <v>3680000</v>
      </c>
      <c r="Q22" s="4">
        <v>8720000</v>
      </c>
      <c r="R22" s="4">
        <v>13040000</v>
      </c>
      <c r="S22" s="4">
        <v>16526000</v>
      </c>
    </row>
    <row r="23" spans="1:19" ht="16" x14ac:dyDescent="0.2">
      <c r="A23" s="3" t="s">
        <v>34</v>
      </c>
      <c r="B23" s="4">
        <v>185000</v>
      </c>
      <c r="C23" s="4">
        <v>576000</v>
      </c>
      <c r="D23" s="4">
        <v>-13000</v>
      </c>
      <c r="E23" s="4">
        <v>837000</v>
      </c>
      <c r="F23" s="4">
        <v>994000</v>
      </c>
      <c r="G23" s="4">
        <v>893000</v>
      </c>
      <c r="H23" s="4">
        <v>4291000</v>
      </c>
      <c r="I23" s="4">
        <v>15220000</v>
      </c>
      <c r="J23" s="4">
        <v>7377000</v>
      </c>
      <c r="K23" s="4">
        <v>8036000</v>
      </c>
      <c r="L23" s="4">
        <v>48184000</v>
      </c>
      <c r="M23" s="4">
        <v>50447000</v>
      </c>
      <c r="N23" s="4">
        <v>2815000</v>
      </c>
      <c r="O23" s="5">
        <v>695000</v>
      </c>
      <c r="P23" s="4">
        <v>3205000</v>
      </c>
      <c r="Q23" s="4">
        <v>-2987000</v>
      </c>
      <c r="R23" s="4">
        <v>267000</v>
      </c>
      <c r="S23" s="4">
        <v>210000</v>
      </c>
    </row>
    <row r="24" spans="1:19" ht="16" x14ac:dyDescent="0.2">
      <c r="A24" s="3" t="s">
        <v>35</v>
      </c>
      <c r="B24" s="4">
        <v>-21777000</v>
      </c>
      <c r="C24" s="4">
        <v>-32290000</v>
      </c>
      <c r="D24" s="4">
        <v>-37567000</v>
      </c>
      <c r="E24" s="4">
        <v>-25050000</v>
      </c>
      <c r="F24" s="4">
        <v>-7286000</v>
      </c>
      <c r="G24" s="4">
        <v>-20703000</v>
      </c>
      <c r="H24" s="4">
        <v>-65987000</v>
      </c>
      <c r="I24" s="4">
        <v>-45341000</v>
      </c>
      <c r="J24" s="4">
        <v>-10229000</v>
      </c>
      <c r="K24" s="4">
        <v>90114000</v>
      </c>
      <c r="L24" s="4">
        <v>119410000</v>
      </c>
      <c r="M24" s="4">
        <v>120928000</v>
      </c>
      <c r="N24" s="4">
        <v>452048000</v>
      </c>
      <c r="O24" s="5">
        <v>666000000</v>
      </c>
      <c r="P24" s="4">
        <v>134255000</v>
      </c>
      <c r="Q24" s="4">
        <v>168178000</v>
      </c>
      <c r="R24" s="4">
        <v>178973000</v>
      </c>
      <c r="S24" s="4">
        <v>184594000</v>
      </c>
    </row>
    <row r="25" spans="1:19" ht="16" x14ac:dyDescent="0.2">
      <c r="A25" s="3" t="s">
        <v>36</v>
      </c>
      <c r="B25" s="4" t="s">
        <v>24</v>
      </c>
      <c r="C25" s="4" t="s">
        <v>24</v>
      </c>
      <c r="D25" s="4">
        <v>651000</v>
      </c>
      <c r="E25" s="4">
        <v>863000</v>
      </c>
      <c r="F25" s="4">
        <v>766000</v>
      </c>
      <c r="G25" s="4">
        <v>1379000</v>
      </c>
      <c r="H25" s="4">
        <v>1475000</v>
      </c>
      <c r="I25" s="4">
        <v>-149000</v>
      </c>
      <c r="J25" s="4">
        <v>1398000</v>
      </c>
      <c r="K25" s="4">
        <v>-71034000</v>
      </c>
      <c r="L25" s="4">
        <v>-14585000</v>
      </c>
      <c r="M25" s="4">
        <v>-24521000</v>
      </c>
      <c r="N25" s="4">
        <v>54686000</v>
      </c>
      <c r="O25" s="5">
        <v>93371000</v>
      </c>
      <c r="P25" s="4">
        <v>19443000</v>
      </c>
      <c r="Q25" s="4">
        <v>14425000</v>
      </c>
      <c r="R25" s="4">
        <v>32100000</v>
      </c>
      <c r="S25" s="4">
        <v>27403000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-21777000</v>
      </c>
      <c r="C27" s="4">
        <v>-32290000</v>
      </c>
      <c r="D27" s="4">
        <v>-38218000</v>
      </c>
      <c r="E27" s="4">
        <v>-25913000</v>
      </c>
      <c r="F27" s="4">
        <v>-8052000</v>
      </c>
      <c r="G27" s="4">
        <v>-22082000</v>
      </c>
      <c r="H27" s="4">
        <v>-67462000</v>
      </c>
      <c r="I27" s="4">
        <v>-45192000</v>
      </c>
      <c r="J27" s="4">
        <v>-11627000</v>
      </c>
      <c r="K27" s="4">
        <v>161148000</v>
      </c>
      <c r="L27" s="4">
        <v>133995000</v>
      </c>
      <c r="M27" s="4">
        <v>145449000</v>
      </c>
      <c r="N27" s="4">
        <v>397362000</v>
      </c>
      <c r="O27" s="5">
        <v>572629000</v>
      </c>
      <c r="P27" s="4">
        <v>114812000</v>
      </c>
      <c r="Q27" s="4">
        <v>153753000</v>
      </c>
      <c r="R27" s="4">
        <v>146873000</v>
      </c>
      <c r="S27" s="4">
        <v>157191000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-21777000</v>
      </c>
      <c r="C31" s="4">
        <v>-32290000</v>
      </c>
      <c r="D31" s="4">
        <v>-38218000</v>
      </c>
      <c r="E31" s="4">
        <v>-25913000</v>
      </c>
      <c r="F31" s="4">
        <v>-8052000</v>
      </c>
      <c r="G31" s="4">
        <v>-22082000</v>
      </c>
      <c r="H31" s="4">
        <v>-67462000</v>
      </c>
      <c r="I31" s="4">
        <v>-45192000</v>
      </c>
      <c r="J31" s="4">
        <v>-11627000</v>
      </c>
      <c r="K31" s="4">
        <v>161148000</v>
      </c>
      <c r="L31" s="4">
        <v>133995000</v>
      </c>
      <c r="M31" s="4">
        <v>145449000</v>
      </c>
      <c r="N31" s="4">
        <v>397362000</v>
      </c>
      <c r="O31" s="5">
        <v>572629000</v>
      </c>
      <c r="P31" s="4">
        <v>114812000</v>
      </c>
      <c r="Q31" s="4">
        <v>153753000</v>
      </c>
      <c r="R31" s="4">
        <v>146873000</v>
      </c>
      <c r="S31" s="4">
        <v>157191000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28" t="s">
        <v>44</v>
      </c>
      <c r="B33" s="26">
        <v>-21777000</v>
      </c>
      <c r="C33" s="26">
        <v>-32290000</v>
      </c>
      <c r="D33" s="26">
        <v>-38218000</v>
      </c>
      <c r="E33" s="26">
        <v>-25913000</v>
      </c>
      <c r="F33" s="26">
        <v>-8052000</v>
      </c>
      <c r="G33" s="26">
        <v>-22082000</v>
      </c>
      <c r="H33" s="26">
        <v>-67462000</v>
      </c>
      <c r="I33" s="26">
        <v>-45192000</v>
      </c>
      <c r="J33" s="26">
        <v>-11627000</v>
      </c>
      <c r="K33" s="26">
        <v>161148000</v>
      </c>
      <c r="L33" s="26">
        <v>133995000</v>
      </c>
      <c r="M33" s="26">
        <v>145449000</v>
      </c>
      <c r="N33" s="26">
        <v>397362000</v>
      </c>
      <c r="O33" s="27">
        <v>572629000</v>
      </c>
      <c r="P33" s="26">
        <v>114812000</v>
      </c>
      <c r="Q33" s="26">
        <v>153753000</v>
      </c>
      <c r="R33" s="26">
        <v>146873000</v>
      </c>
      <c r="S33" s="26">
        <v>157191000</v>
      </c>
    </row>
    <row r="34" spans="1:19" ht="16" x14ac:dyDescent="0.2">
      <c r="A34" s="23" t="s">
        <v>60</v>
      </c>
      <c r="B34" s="35">
        <v>-35.32</v>
      </c>
      <c r="C34" s="35">
        <v>-21.6</v>
      </c>
      <c r="D34" s="35">
        <v>-17.64</v>
      </c>
      <c r="E34" s="35">
        <v>-11.13</v>
      </c>
      <c r="F34" s="35">
        <v>-2.34</v>
      </c>
      <c r="G34" s="35">
        <v>-6.18</v>
      </c>
      <c r="H34" s="35">
        <v>-20.91</v>
      </c>
      <c r="I34" s="35">
        <v>-15.79</v>
      </c>
      <c r="J34" s="35">
        <v>-3.68</v>
      </c>
      <c r="K34" s="35">
        <v>25.81</v>
      </c>
      <c r="L34" s="35">
        <v>17.3</v>
      </c>
      <c r="M34" s="35">
        <v>10.52</v>
      </c>
      <c r="N34" s="35">
        <v>17.05</v>
      </c>
      <c r="O34" s="36">
        <v>20.48</v>
      </c>
      <c r="P34" s="35">
        <v>18.09</v>
      </c>
      <c r="Q34" s="35">
        <v>21.22</v>
      </c>
      <c r="R34" s="35">
        <v>20.23</v>
      </c>
      <c r="S34" s="35">
        <v>22.1</v>
      </c>
    </row>
    <row r="35" spans="1:19" ht="16" x14ac:dyDescent="0.2">
      <c r="A35" s="14" t="s">
        <v>195</v>
      </c>
      <c r="B35" s="15"/>
      <c r="C35" s="16">
        <f>(C33/B33)-1</f>
        <v>0.48275703724112606</v>
      </c>
      <c r="D35" s="16">
        <f>(D33/C33)-1</f>
        <v>0.18358624961288328</v>
      </c>
      <c r="E35" s="16">
        <f>(E33/D33)-1</f>
        <v>-0.32196870584541315</v>
      </c>
      <c r="F35" s="16">
        <f t="shared" ref="F35:N35" si="4">(F33/E33)-1</f>
        <v>-0.68926793501331374</v>
      </c>
      <c r="G35" s="16">
        <f t="shared" si="4"/>
        <v>1.7424242424242422</v>
      </c>
      <c r="H35" s="16">
        <f t="shared" si="4"/>
        <v>2.0550674757721219</v>
      </c>
      <c r="I35" s="16">
        <f t="shared" si="4"/>
        <v>-0.33011176662417363</v>
      </c>
      <c r="J35" s="16">
        <f t="shared" si="4"/>
        <v>-0.74271995043370509</v>
      </c>
      <c r="K35" s="16">
        <f t="shared" si="4"/>
        <v>-14.859809065107079</v>
      </c>
      <c r="L35" s="16">
        <f t="shared" si="4"/>
        <v>-0.16849728200163827</v>
      </c>
      <c r="M35" s="16">
        <f t="shared" si="4"/>
        <v>8.548080152244486E-2</v>
      </c>
      <c r="N35" s="16">
        <f t="shared" si="4"/>
        <v>1.7319679062764268</v>
      </c>
      <c r="O35" s="16">
        <f>(O33/N33)-1</f>
        <v>0.44107639885041849</v>
      </c>
      <c r="P35" s="16"/>
      <c r="Q35" s="16">
        <f>(Q33/P33)-1</f>
        <v>0.33917186356826812</v>
      </c>
      <c r="R35" s="16">
        <f>(R33/Q33)-1</f>
        <v>-4.4747094365638396E-2</v>
      </c>
      <c r="S35" s="16">
        <f>(S33/R33)-1</f>
        <v>7.0251169377625544E-2</v>
      </c>
    </row>
    <row r="36" spans="1:19" ht="16" x14ac:dyDescent="0.2">
      <c r="A36" s="17" t="s">
        <v>196</v>
      </c>
      <c r="B36" s="18">
        <f t="shared" ref="B36:S36" si="5">(B16*(1-0.25))/(B126+B105+B96)</f>
        <v>-0.3423618455843469</v>
      </c>
      <c r="C36" s="18">
        <f t="shared" si="5"/>
        <v>-0.45079444828235887</v>
      </c>
      <c r="D36" s="18">
        <f t="shared" si="5"/>
        <v>-0.34512892078681551</v>
      </c>
      <c r="E36" s="18">
        <f t="shared" si="5"/>
        <v>-0.33996481394349776</v>
      </c>
      <c r="F36" s="18" t="e">
        <f t="shared" si="5"/>
        <v>#VALUE!</v>
      </c>
      <c r="G36" s="18" t="e">
        <f t="shared" si="5"/>
        <v>#VALUE!</v>
      </c>
      <c r="H36" s="18">
        <f t="shared" si="5"/>
        <v>-1.2554616477272726</v>
      </c>
      <c r="I36" s="18">
        <f t="shared" si="5"/>
        <v>-0.41466461538461541</v>
      </c>
      <c r="J36" s="18">
        <f t="shared" si="5"/>
        <v>3.6524213373710222E-2</v>
      </c>
      <c r="K36" s="18">
        <f t="shared" si="5"/>
        <v>0.20911966750936453</v>
      </c>
      <c r="L36" s="18">
        <f t="shared" si="5"/>
        <v>0.17159953022489807</v>
      </c>
      <c r="M36" s="18">
        <f t="shared" si="5"/>
        <v>0.11028236547682473</v>
      </c>
      <c r="N36" s="18">
        <f t="shared" si="5"/>
        <v>0.15973295430378132</v>
      </c>
      <c r="O36" s="18">
        <f t="shared" si="5"/>
        <v>0.20962103742075724</v>
      </c>
      <c r="P36" s="18">
        <f t="shared" si="5"/>
        <v>5.3626702801064061E-2</v>
      </c>
      <c r="Q36" s="18">
        <f t="shared" si="5"/>
        <v>5.626958358735875E-2</v>
      </c>
      <c r="R36" s="18">
        <f t="shared" si="5"/>
        <v>5.5809013456006758E-2</v>
      </c>
      <c r="S36" s="18">
        <f t="shared" si="5"/>
        <v>5.6404063545947125E-2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-21777000</v>
      </c>
      <c r="C39" s="4">
        <v>-32290000</v>
      </c>
      <c r="D39" s="4">
        <v>-38218000</v>
      </c>
      <c r="E39" s="4">
        <v>-25913000</v>
      </c>
      <c r="F39" s="4">
        <v>-8052000</v>
      </c>
      <c r="G39" s="4">
        <v>-22082000</v>
      </c>
      <c r="H39" s="4">
        <v>-67462000</v>
      </c>
      <c r="I39" s="4">
        <v>-45192000</v>
      </c>
      <c r="J39" s="4">
        <v>-11627000</v>
      </c>
      <c r="K39" s="4">
        <v>161148000</v>
      </c>
      <c r="L39" s="4">
        <v>133995000</v>
      </c>
      <c r="M39" s="4">
        <v>145449000</v>
      </c>
      <c r="N39" s="4">
        <v>397362000</v>
      </c>
      <c r="O39" s="5">
        <v>572629000</v>
      </c>
      <c r="P39" s="4">
        <v>114812000</v>
      </c>
      <c r="Q39" s="4">
        <v>153753000</v>
      </c>
      <c r="R39" s="4">
        <v>146873000</v>
      </c>
      <c r="S39" s="4">
        <v>157191000</v>
      </c>
    </row>
    <row r="40" spans="1:19" ht="16" x14ac:dyDescent="0.2">
      <c r="A40" s="3" t="s">
        <v>48</v>
      </c>
      <c r="B40" s="4">
        <v>1130000</v>
      </c>
      <c r="C40" s="4">
        <v>39291000</v>
      </c>
      <c r="D40" s="4">
        <v>30740000</v>
      </c>
      <c r="E40" s="4">
        <v>41647000</v>
      </c>
      <c r="F40" s="4">
        <v>42903000</v>
      </c>
      <c r="G40" s="4">
        <v>44632000</v>
      </c>
      <c r="H40" s="4">
        <v>50519000</v>
      </c>
      <c r="I40" s="4">
        <v>82939000</v>
      </c>
      <c r="J40" s="4">
        <v>99619000</v>
      </c>
      <c r="K40" s="4">
        <v>116713000</v>
      </c>
      <c r="L40" s="4">
        <v>125561000</v>
      </c>
      <c r="M40" s="4">
        <v>134025000</v>
      </c>
      <c r="N40" s="4">
        <v>135349000</v>
      </c>
      <c r="O40" s="5">
        <v>136289250</v>
      </c>
      <c r="P40" s="4">
        <v>135633000</v>
      </c>
      <c r="Q40" s="4">
        <v>136228000</v>
      </c>
      <c r="R40" s="4">
        <v>136689000</v>
      </c>
      <c r="S40" s="4">
        <v>136607000</v>
      </c>
    </row>
    <row r="41" spans="1:19" ht="16" x14ac:dyDescent="0.2">
      <c r="A41" s="3" t="s">
        <v>49</v>
      </c>
      <c r="B41" s="6">
        <v>-19.27</v>
      </c>
      <c r="C41" s="6">
        <v>-0.82</v>
      </c>
      <c r="D41" s="6">
        <v>-1.24</v>
      </c>
      <c r="E41" s="6">
        <v>-0.62</v>
      </c>
      <c r="F41" s="6">
        <v>-0.19</v>
      </c>
      <c r="G41" s="6">
        <v>-0.49</v>
      </c>
      <c r="H41" s="6">
        <v>-1.34</v>
      </c>
      <c r="I41" s="6">
        <v>-0.54</v>
      </c>
      <c r="J41" s="6">
        <v>-0.12</v>
      </c>
      <c r="K41" s="6">
        <v>1.38</v>
      </c>
      <c r="L41" s="6">
        <v>1.07</v>
      </c>
      <c r="M41" s="6">
        <v>1.0900000000000001</v>
      </c>
      <c r="N41" s="6">
        <v>2.94</v>
      </c>
      <c r="O41" s="7">
        <v>4.2</v>
      </c>
      <c r="P41" s="6">
        <v>0.85</v>
      </c>
      <c r="Q41" s="6">
        <v>1.1299999999999999</v>
      </c>
      <c r="R41" s="6">
        <v>1.07</v>
      </c>
      <c r="S41" s="6">
        <v>1.1499999999999999</v>
      </c>
    </row>
    <row r="42" spans="1:19" ht="16" x14ac:dyDescent="0.2">
      <c r="A42" s="3" t="s">
        <v>50</v>
      </c>
      <c r="B42" s="6">
        <v>-19.27</v>
      </c>
      <c r="C42" s="6">
        <v>-0.82</v>
      </c>
      <c r="D42" s="6">
        <v>-1.24</v>
      </c>
      <c r="E42" s="6">
        <v>-0.62</v>
      </c>
      <c r="F42" s="6">
        <v>-0.19</v>
      </c>
      <c r="G42" s="6">
        <v>-0.49</v>
      </c>
      <c r="H42" s="6">
        <v>-1.34</v>
      </c>
      <c r="I42" s="6">
        <v>-0.54</v>
      </c>
      <c r="J42" s="6">
        <v>-0.12</v>
      </c>
      <c r="K42" s="6">
        <v>1.38</v>
      </c>
      <c r="L42" s="6">
        <v>1.07</v>
      </c>
      <c r="M42" s="6">
        <v>1.0900000000000001</v>
      </c>
      <c r="N42" s="6">
        <v>2.94</v>
      </c>
      <c r="O42" s="7">
        <v>4.2</v>
      </c>
      <c r="P42" s="6">
        <v>0.85</v>
      </c>
      <c r="Q42" s="6">
        <v>1.1299999999999999</v>
      </c>
      <c r="R42" s="6">
        <v>1.07</v>
      </c>
      <c r="S42" s="6">
        <v>1.1499999999999999</v>
      </c>
    </row>
    <row r="43" spans="1:19" ht="16" x14ac:dyDescent="0.2">
      <c r="A43" s="3" t="s">
        <v>51</v>
      </c>
      <c r="B43" s="4">
        <v>1130000</v>
      </c>
      <c r="C43" s="4">
        <v>39291000</v>
      </c>
      <c r="D43" s="4">
        <v>30740000</v>
      </c>
      <c r="E43" s="4">
        <v>41647000</v>
      </c>
      <c r="F43" s="4">
        <v>42903000</v>
      </c>
      <c r="G43" s="4">
        <v>44632000</v>
      </c>
      <c r="H43" s="4">
        <v>50519000</v>
      </c>
      <c r="I43" s="4">
        <v>82939000</v>
      </c>
      <c r="J43" s="4">
        <v>99619000</v>
      </c>
      <c r="K43" s="4">
        <v>131644000</v>
      </c>
      <c r="L43" s="4">
        <v>141918000</v>
      </c>
      <c r="M43" s="4">
        <v>142878000</v>
      </c>
      <c r="N43" s="4">
        <v>144390000</v>
      </c>
      <c r="O43" s="5">
        <v>145608000</v>
      </c>
      <c r="P43" s="4">
        <v>145962000</v>
      </c>
      <c r="Q43" s="4">
        <v>145386000</v>
      </c>
      <c r="R43" s="4">
        <v>145986000</v>
      </c>
      <c r="S43" s="4">
        <v>145098000</v>
      </c>
    </row>
    <row r="44" spans="1:19" ht="16" x14ac:dyDescent="0.2">
      <c r="A44" s="3" t="s">
        <v>52</v>
      </c>
      <c r="B44" s="6">
        <v>-19.27</v>
      </c>
      <c r="C44" s="6">
        <v>-0.82</v>
      </c>
      <c r="D44" s="6">
        <v>-1.24</v>
      </c>
      <c r="E44" s="6">
        <v>-0.62</v>
      </c>
      <c r="F44" s="6">
        <v>-0.19</v>
      </c>
      <c r="G44" s="6">
        <v>-0.49</v>
      </c>
      <c r="H44" s="6">
        <v>-1.34</v>
      </c>
      <c r="I44" s="6">
        <v>-0.54</v>
      </c>
      <c r="J44" s="6">
        <v>-0.12</v>
      </c>
      <c r="K44" s="6">
        <v>1.22</v>
      </c>
      <c r="L44" s="6">
        <v>0.94</v>
      </c>
      <c r="M44" s="6">
        <v>1.02</v>
      </c>
      <c r="N44" s="6">
        <v>2.75</v>
      </c>
      <c r="O44" s="7">
        <v>3.93</v>
      </c>
      <c r="P44" s="6">
        <v>0.79</v>
      </c>
      <c r="Q44" s="6">
        <v>1.06</v>
      </c>
      <c r="R44" s="6">
        <v>1.01</v>
      </c>
      <c r="S44" s="6">
        <v>1.08</v>
      </c>
    </row>
    <row r="45" spans="1:19" ht="16" x14ac:dyDescent="0.2">
      <c r="A45" s="3" t="s">
        <v>53</v>
      </c>
      <c r="B45" s="6">
        <v>-19.27</v>
      </c>
      <c r="C45" s="6">
        <v>-0.82</v>
      </c>
      <c r="D45" s="6">
        <v>-1.24</v>
      </c>
      <c r="E45" s="6">
        <v>-0.62</v>
      </c>
      <c r="F45" s="6">
        <v>-0.19</v>
      </c>
      <c r="G45" s="6">
        <v>-0.49</v>
      </c>
      <c r="H45" s="6">
        <v>-1.34</v>
      </c>
      <c r="I45" s="6">
        <v>-0.54</v>
      </c>
      <c r="J45" s="6">
        <v>-0.12</v>
      </c>
      <c r="K45" s="6">
        <v>1.22</v>
      </c>
      <c r="L45" s="6">
        <v>0.94</v>
      </c>
      <c r="M45" s="6">
        <v>1.02</v>
      </c>
      <c r="N45" s="6">
        <v>2.75</v>
      </c>
      <c r="O45" s="7">
        <v>3.93</v>
      </c>
      <c r="P45" s="6">
        <v>0.79</v>
      </c>
      <c r="Q45" s="6">
        <v>1.06</v>
      </c>
      <c r="R45" s="6">
        <v>1.01</v>
      </c>
      <c r="S45" s="6">
        <v>1.08</v>
      </c>
    </row>
    <row r="46" spans="1:19" ht="16" x14ac:dyDescent="0.2">
      <c r="A46" s="3" t="s">
        <v>54</v>
      </c>
      <c r="B46" s="4">
        <v>-19167000</v>
      </c>
      <c r="C46" s="4">
        <v>-25680000</v>
      </c>
      <c r="D46" s="4">
        <v>-25593000</v>
      </c>
      <c r="E46" s="4">
        <v>-15177000</v>
      </c>
      <c r="F46" s="4">
        <v>3830000</v>
      </c>
      <c r="G46" s="4">
        <v>-8770000</v>
      </c>
      <c r="H46" s="4">
        <v>-48285000</v>
      </c>
      <c r="I46" s="4">
        <v>-13457000</v>
      </c>
      <c r="J46" s="4">
        <v>15392000</v>
      </c>
      <c r="K46" s="4">
        <v>119447000</v>
      </c>
      <c r="L46" s="4">
        <v>203664000</v>
      </c>
      <c r="M46" s="4">
        <v>248271000</v>
      </c>
      <c r="N46" s="4">
        <v>509420000</v>
      </c>
      <c r="O46" s="5">
        <v>696027000</v>
      </c>
      <c r="P46" s="4">
        <v>147996000</v>
      </c>
      <c r="Q46" s="4">
        <v>174759000</v>
      </c>
      <c r="R46" s="4">
        <v>184947000</v>
      </c>
      <c r="S46" s="4">
        <v>188325000</v>
      </c>
    </row>
    <row r="47" spans="1:19" ht="16" x14ac:dyDescent="0.2">
      <c r="A47" s="3" t="s">
        <v>55</v>
      </c>
      <c r="B47" s="6">
        <v>-31.08</v>
      </c>
      <c r="C47" s="6">
        <v>-17.170000000000002</v>
      </c>
      <c r="D47" s="6">
        <v>-11.81</v>
      </c>
      <c r="E47" s="6">
        <v>-6.52</v>
      </c>
      <c r="F47" s="6">
        <v>1.1100000000000001</v>
      </c>
      <c r="G47" s="6">
        <v>-2.4500000000000002</v>
      </c>
      <c r="H47" s="6">
        <v>-14.97</v>
      </c>
      <c r="I47" s="6">
        <v>-4.7</v>
      </c>
      <c r="J47" s="6">
        <v>4.87</v>
      </c>
      <c r="K47" s="6">
        <v>19.13</v>
      </c>
      <c r="L47" s="6">
        <v>26.3</v>
      </c>
      <c r="M47" s="6">
        <v>17.96</v>
      </c>
      <c r="N47" s="6">
        <v>21.86</v>
      </c>
      <c r="O47" s="7">
        <v>24.89</v>
      </c>
      <c r="P47" s="6">
        <v>19.98</v>
      </c>
      <c r="Q47" s="6">
        <v>21.86</v>
      </c>
      <c r="R47" s="6">
        <v>23.59</v>
      </c>
      <c r="S47" s="6">
        <v>24.89</v>
      </c>
    </row>
    <row r="48" spans="1:19" ht="16" x14ac:dyDescent="0.2">
      <c r="A48" s="3" t="s">
        <v>56</v>
      </c>
      <c r="B48" s="4">
        <v>-20717000</v>
      </c>
      <c r="C48" s="4">
        <v>-28712000</v>
      </c>
      <c r="D48" s="4">
        <v>-31161000</v>
      </c>
      <c r="E48" s="4">
        <v>-22158000</v>
      </c>
      <c r="F48" s="4">
        <v>-4429000</v>
      </c>
      <c r="G48" s="4">
        <v>-19309000</v>
      </c>
      <c r="H48" s="4">
        <v>-58923000</v>
      </c>
      <c r="I48" s="4">
        <v>-22461000</v>
      </c>
      <c r="J48" s="4">
        <v>5725000</v>
      </c>
      <c r="K48" s="4">
        <v>105328000</v>
      </c>
      <c r="L48" s="4">
        <v>186439000</v>
      </c>
      <c r="M48" s="4">
        <v>215832000</v>
      </c>
      <c r="N48" s="4">
        <v>450645000</v>
      </c>
      <c r="O48" s="5">
        <v>633638000</v>
      </c>
      <c r="P48" s="4">
        <v>136035000</v>
      </c>
      <c r="Q48" s="4">
        <v>158750000</v>
      </c>
      <c r="R48" s="4">
        <v>168356000</v>
      </c>
      <c r="S48" s="4">
        <v>170497000</v>
      </c>
    </row>
    <row r="49" spans="1:19" ht="16" x14ac:dyDescent="0.2">
      <c r="A49" s="3" t="s">
        <v>57</v>
      </c>
      <c r="B49" s="4">
        <v>-20717000</v>
      </c>
      <c r="C49" s="4">
        <v>-28712000</v>
      </c>
      <c r="D49" s="4">
        <v>-31161000</v>
      </c>
      <c r="E49" s="4">
        <v>-22158000</v>
      </c>
      <c r="F49" s="4">
        <v>-4429000</v>
      </c>
      <c r="G49" s="4">
        <v>-19309000</v>
      </c>
      <c r="H49" s="4">
        <v>-58923000</v>
      </c>
      <c r="I49" s="4">
        <v>-22461000</v>
      </c>
      <c r="J49" s="4">
        <v>5725000</v>
      </c>
      <c r="K49" s="4">
        <v>105328000</v>
      </c>
      <c r="L49" s="4">
        <v>186439000</v>
      </c>
      <c r="M49" s="4">
        <v>215832000</v>
      </c>
      <c r="N49" s="4">
        <v>450645000</v>
      </c>
      <c r="O49" s="5">
        <v>633638000</v>
      </c>
      <c r="P49" s="4">
        <v>136035000</v>
      </c>
      <c r="Q49" s="4">
        <v>158750000</v>
      </c>
      <c r="R49" s="4">
        <v>168356000</v>
      </c>
      <c r="S49" s="4">
        <v>170497000</v>
      </c>
    </row>
    <row r="50" spans="1:19" ht="16" x14ac:dyDescent="0.2">
      <c r="A50" s="3" t="s">
        <v>61</v>
      </c>
      <c r="B50" s="4" t="s">
        <v>24</v>
      </c>
      <c r="C50" s="4" t="s">
        <v>24</v>
      </c>
      <c r="D50" s="4">
        <v>564266</v>
      </c>
      <c r="E50" s="4">
        <v>585040</v>
      </c>
      <c r="F50" s="4">
        <v>638041</v>
      </c>
      <c r="G50" s="4">
        <v>657917</v>
      </c>
      <c r="H50" s="4">
        <v>750212</v>
      </c>
      <c r="I50" s="4">
        <v>851685</v>
      </c>
      <c r="J50" s="4">
        <v>740419</v>
      </c>
      <c r="K50" s="4">
        <v>1082033</v>
      </c>
      <c r="L50" s="4">
        <v>911088</v>
      </c>
      <c r="M50" s="4">
        <v>611526</v>
      </c>
      <c r="N50" s="4">
        <v>826251</v>
      </c>
      <c r="O50" s="5">
        <v>991315</v>
      </c>
      <c r="P50" s="4">
        <v>280846</v>
      </c>
      <c r="Q50" s="4">
        <v>256878</v>
      </c>
      <c r="R50" s="4">
        <v>257361</v>
      </c>
      <c r="S50" s="4">
        <v>252080</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1550000</v>
      </c>
      <c r="C52" s="4">
        <v>3032000</v>
      </c>
      <c r="D52" s="4">
        <v>5568000</v>
      </c>
      <c r="E52" s="4">
        <v>6981000</v>
      </c>
      <c r="F52" s="4">
        <v>8259000</v>
      </c>
      <c r="G52" s="4">
        <v>10539000</v>
      </c>
      <c r="H52" s="4">
        <v>10638000</v>
      </c>
      <c r="I52" s="4">
        <v>9004000</v>
      </c>
      <c r="J52" s="4">
        <v>9667000</v>
      </c>
      <c r="K52" s="4">
        <v>14119000</v>
      </c>
      <c r="L52" s="4">
        <v>17225000</v>
      </c>
      <c r="M52" s="4">
        <v>32439000</v>
      </c>
      <c r="N52" s="4">
        <v>58775000</v>
      </c>
      <c r="O52" s="5">
        <v>62389000</v>
      </c>
      <c r="P52" s="4">
        <v>11961000</v>
      </c>
      <c r="Q52" s="4">
        <v>16009000</v>
      </c>
      <c r="R52" s="4">
        <v>16591000</v>
      </c>
      <c r="S52" s="4">
        <v>17828000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52956000</v>
      </c>
      <c r="C55" s="4">
        <v>81787000</v>
      </c>
      <c r="D55" s="4">
        <v>94998000</v>
      </c>
      <c r="E55" s="4">
        <v>90509000</v>
      </c>
      <c r="F55" s="4">
        <v>114896000</v>
      </c>
      <c r="G55" s="4">
        <v>121768000</v>
      </c>
      <c r="H55" s="4">
        <v>117864000</v>
      </c>
      <c r="I55" s="4">
        <v>130446000</v>
      </c>
      <c r="J55" s="4">
        <v>222302000</v>
      </c>
      <c r="K55" s="4">
        <v>499657000</v>
      </c>
      <c r="L55" s="4">
        <v>933064000</v>
      </c>
      <c r="M55" s="4">
        <v>1462461000</v>
      </c>
      <c r="N55" s="4">
        <v>2264271000</v>
      </c>
      <c r="O55" s="5">
        <v>2560789000</v>
      </c>
      <c r="P55" s="4">
        <v>1982664000</v>
      </c>
      <c r="Q55" s="4">
        <v>2264271000</v>
      </c>
      <c r="R55" s="4">
        <v>2512633000</v>
      </c>
      <c r="S55" s="4">
        <v>2560789000</v>
      </c>
    </row>
    <row r="56" spans="1:19" ht="16" x14ac:dyDescent="0.2">
      <c r="A56" s="3" t="s">
        <v>65</v>
      </c>
      <c r="B56" s="4">
        <v>39993000</v>
      </c>
      <c r="C56" s="4">
        <v>51524000</v>
      </c>
      <c r="D56" s="4">
        <v>45294000</v>
      </c>
      <c r="E56" s="4">
        <v>38190000</v>
      </c>
      <c r="F56" s="4">
        <v>42032000</v>
      </c>
      <c r="G56" s="4">
        <v>28452000</v>
      </c>
      <c r="H56" s="4">
        <v>17764000</v>
      </c>
      <c r="I56" s="4">
        <v>29144000</v>
      </c>
      <c r="J56" s="4">
        <v>106237000</v>
      </c>
      <c r="K56" s="4">
        <v>251409000</v>
      </c>
      <c r="L56" s="4">
        <v>679379000</v>
      </c>
      <c r="M56" s="4">
        <v>1016651000</v>
      </c>
      <c r="N56" s="4">
        <v>1612843000</v>
      </c>
      <c r="O56" s="5">
        <v>1800492000</v>
      </c>
      <c r="P56" s="4">
        <v>1417296000</v>
      </c>
      <c r="Q56" s="4">
        <v>1612843000</v>
      </c>
      <c r="R56" s="4">
        <v>1778397000</v>
      </c>
      <c r="S56" s="4">
        <v>1800492000</v>
      </c>
    </row>
    <row r="57" spans="1:19" ht="16" x14ac:dyDescent="0.2">
      <c r="A57" s="3" t="s">
        <v>66</v>
      </c>
      <c r="B57" s="4">
        <v>39993000</v>
      </c>
      <c r="C57" s="4">
        <v>51524000</v>
      </c>
      <c r="D57" s="4">
        <v>45294000</v>
      </c>
      <c r="E57" s="4">
        <v>38190000</v>
      </c>
      <c r="F57" s="4">
        <v>42032000</v>
      </c>
      <c r="G57" s="4">
        <v>28452000</v>
      </c>
      <c r="H57" s="4">
        <v>17764000</v>
      </c>
      <c r="I57" s="4">
        <v>29144000</v>
      </c>
      <c r="J57" s="4">
        <v>106237000</v>
      </c>
      <c r="K57" s="4">
        <v>251409000</v>
      </c>
      <c r="L57" s="4">
        <v>679379000</v>
      </c>
      <c r="M57" s="4">
        <v>119316000</v>
      </c>
      <c r="N57" s="4">
        <v>473244000</v>
      </c>
      <c r="O57" s="5">
        <v>278676000</v>
      </c>
      <c r="P57" s="4">
        <v>337583000</v>
      </c>
      <c r="Q57" s="4">
        <v>473244000</v>
      </c>
      <c r="R57" s="4">
        <v>286045000</v>
      </c>
      <c r="S57" s="4">
        <v>278676000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v>897335000</v>
      </c>
      <c r="N58" s="4">
        <v>1139599000</v>
      </c>
      <c r="O58" s="5">
        <v>1521816000</v>
      </c>
      <c r="P58" s="4">
        <v>1079713000</v>
      </c>
      <c r="Q58" s="4">
        <v>1139599000</v>
      </c>
      <c r="R58" s="4">
        <v>1492352000</v>
      </c>
      <c r="S58" s="4">
        <v>1521816000</v>
      </c>
    </row>
    <row r="59" spans="1:19" ht="16" x14ac:dyDescent="0.2">
      <c r="A59" s="3" t="s">
        <v>68</v>
      </c>
      <c r="B59" s="4">
        <v>8024000</v>
      </c>
      <c r="C59" s="4">
        <v>17771000</v>
      </c>
      <c r="D59" s="4">
        <v>27743000</v>
      </c>
      <c r="E59" s="4">
        <v>32084000</v>
      </c>
      <c r="F59" s="4">
        <v>45119000</v>
      </c>
      <c r="G59" s="4">
        <v>46099000</v>
      </c>
      <c r="H59" s="4">
        <v>61019000</v>
      </c>
      <c r="I59" s="4">
        <v>65346000</v>
      </c>
      <c r="J59" s="4">
        <v>78938000</v>
      </c>
      <c r="K59" s="4">
        <v>145413000</v>
      </c>
      <c r="L59" s="4">
        <v>182165000</v>
      </c>
      <c r="M59" s="4">
        <v>333626000</v>
      </c>
      <c r="N59" s="4">
        <v>440896000</v>
      </c>
      <c r="O59" s="5">
        <v>520306000</v>
      </c>
      <c r="P59" s="4">
        <v>367647000</v>
      </c>
      <c r="Q59" s="4">
        <v>440896000</v>
      </c>
      <c r="R59" s="4">
        <v>516106000</v>
      </c>
      <c r="S59" s="4">
        <v>520306000</v>
      </c>
    </row>
    <row r="60" spans="1:19" ht="16" x14ac:dyDescent="0.2">
      <c r="A60" s="3" t="s">
        <v>69</v>
      </c>
      <c r="B60" s="4">
        <v>8024000</v>
      </c>
      <c r="C60" s="4">
        <v>17771000</v>
      </c>
      <c r="D60" s="4">
        <v>27743000</v>
      </c>
      <c r="E60" s="4">
        <v>32084000</v>
      </c>
      <c r="F60" s="4">
        <v>45119000</v>
      </c>
      <c r="G60" s="4">
        <v>46099000</v>
      </c>
      <c r="H60" s="4">
        <v>61019000</v>
      </c>
      <c r="I60" s="4">
        <v>65346000</v>
      </c>
      <c r="J60" s="4">
        <v>78938000</v>
      </c>
      <c r="K60" s="4">
        <v>145413000</v>
      </c>
      <c r="L60" s="4">
        <v>182165000</v>
      </c>
      <c r="M60" s="4">
        <v>333626000</v>
      </c>
      <c r="N60" s="4">
        <v>440896000</v>
      </c>
      <c r="O60" s="5">
        <v>520306000</v>
      </c>
      <c r="P60" s="4">
        <v>367647000</v>
      </c>
      <c r="Q60" s="4">
        <v>440896000</v>
      </c>
      <c r="R60" s="4">
        <v>516106000</v>
      </c>
      <c r="S60" s="4">
        <v>520306000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4521000</v>
      </c>
      <c r="C64" s="4">
        <v>11228000</v>
      </c>
      <c r="D64" s="4">
        <v>19843000</v>
      </c>
      <c r="E64" s="4">
        <v>16580000</v>
      </c>
      <c r="F64" s="4">
        <v>21590000</v>
      </c>
      <c r="G64" s="4">
        <v>40800000</v>
      </c>
      <c r="H64" s="4">
        <v>31960000</v>
      </c>
      <c r="I64" s="4">
        <v>25999000</v>
      </c>
      <c r="J64" s="4">
        <v>16267000</v>
      </c>
      <c r="K64" s="4">
        <v>32056000</v>
      </c>
      <c r="L64" s="4">
        <v>41764000</v>
      </c>
      <c r="M64" s="4">
        <v>74400000</v>
      </c>
      <c r="N64" s="4">
        <v>149708000</v>
      </c>
      <c r="O64" s="5">
        <v>166111000</v>
      </c>
      <c r="P64" s="4">
        <v>146451000</v>
      </c>
      <c r="Q64" s="4">
        <v>149708000</v>
      </c>
      <c r="R64" s="4">
        <v>150563000</v>
      </c>
      <c r="S64" s="4">
        <v>166111000</v>
      </c>
    </row>
    <row r="65" spans="1:19" ht="16" x14ac:dyDescent="0.2">
      <c r="A65" s="3" t="s">
        <v>74</v>
      </c>
      <c r="B65" s="4">
        <v>761000</v>
      </c>
      <c r="C65" s="4">
        <v>1848000</v>
      </c>
      <c r="D65" s="4">
        <v>2223000</v>
      </c>
      <c r="E65" s="4">
        <v>1428000</v>
      </c>
      <c r="F65" s="4">
        <v>3429000</v>
      </c>
      <c r="G65" s="4">
        <v>2202000</v>
      </c>
      <c r="H65" s="4">
        <v>5095000</v>
      </c>
      <c r="I65" s="4">
        <v>2341000</v>
      </c>
      <c r="J65" s="4">
        <v>970000</v>
      </c>
      <c r="K65" s="4">
        <v>4197000</v>
      </c>
      <c r="L65" s="4">
        <v>10140000</v>
      </c>
      <c r="M65" s="4">
        <v>25429000</v>
      </c>
      <c r="N65" s="4">
        <v>34978000</v>
      </c>
      <c r="O65" s="5">
        <v>30993000</v>
      </c>
      <c r="P65" s="4">
        <v>42125000</v>
      </c>
      <c r="Q65" s="4">
        <v>34978000</v>
      </c>
      <c r="R65" s="4">
        <v>28583000</v>
      </c>
      <c r="S65" s="4">
        <v>30993000</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3760000</v>
      </c>
      <c r="C67" s="4">
        <v>9380000</v>
      </c>
      <c r="D67" s="4">
        <v>17620000</v>
      </c>
      <c r="E67" s="4">
        <v>15152000</v>
      </c>
      <c r="F67" s="4">
        <v>18161000</v>
      </c>
      <c r="G67" s="4">
        <v>38598000</v>
      </c>
      <c r="H67" s="4">
        <v>26865000</v>
      </c>
      <c r="I67" s="4">
        <v>23658000</v>
      </c>
      <c r="J67" s="4">
        <v>15297000</v>
      </c>
      <c r="K67" s="4">
        <v>27859000</v>
      </c>
      <c r="L67" s="4">
        <v>31624000</v>
      </c>
      <c r="M67" s="4">
        <v>48971000</v>
      </c>
      <c r="N67" s="4">
        <v>114730000</v>
      </c>
      <c r="O67" s="5">
        <v>135118000</v>
      </c>
      <c r="P67" s="4">
        <v>104326000</v>
      </c>
      <c r="Q67" s="4">
        <v>114730000</v>
      </c>
      <c r="R67" s="4">
        <v>121980000</v>
      </c>
      <c r="S67" s="4">
        <v>135118000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418000</v>
      </c>
      <c r="C70" s="4">
        <v>1264000</v>
      </c>
      <c r="D70" s="4">
        <v>2118000</v>
      </c>
      <c r="E70" s="4">
        <v>3655000</v>
      </c>
      <c r="F70" s="4">
        <v>6155000</v>
      </c>
      <c r="G70" s="4">
        <v>6417000</v>
      </c>
      <c r="H70" s="4">
        <v>7121000</v>
      </c>
      <c r="I70" s="4">
        <v>9957000</v>
      </c>
      <c r="J70" s="4">
        <v>20860000</v>
      </c>
      <c r="K70" s="4">
        <v>70779000</v>
      </c>
      <c r="L70" s="4">
        <v>29756000</v>
      </c>
      <c r="M70" s="4">
        <v>37784000</v>
      </c>
      <c r="N70" s="4">
        <v>60824000</v>
      </c>
      <c r="O70" s="5">
        <v>73880000</v>
      </c>
      <c r="P70" s="4">
        <v>51270000</v>
      </c>
      <c r="Q70" s="4">
        <v>60824000</v>
      </c>
      <c r="R70" s="4">
        <v>67567000</v>
      </c>
      <c r="S70" s="4">
        <v>73880000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6548000</v>
      </c>
      <c r="C76" s="4">
        <v>22972000</v>
      </c>
      <c r="D76" s="4">
        <v>27293000</v>
      </c>
      <c r="E76" s="4">
        <v>26160000</v>
      </c>
      <c r="F76" s="4">
        <v>37296000</v>
      </c>
      <c r="G76" s="4">
        <v>43760000</v>
      </c>
      <c r="H76" s="4">
        <v>45712000</v>
      </c>
      <c r="I76" s="4">
        <v>38701000</v>
      </c>
      <c r="J76" s="4">
        <v>117635000</v>
      </c>
      <c r="K76" s="4">
        <v>213566000</v>
      </c>
      <c r="L76" s="4">
        <v>267038000</v>
      </c>
      <c r="M76" s="4">
        <v>616795000</v>
      </c>
      <c r="N76" s="4">
        <v>820009000</v>
      </c>
      <c r="O76" s="5">
        <v>905093000</v>
      </c>
      <c r="P76" s="4">
        <v>715171000</v>
      </c>
      <c r="Q76" s="4">
        <v>820009000</v>
      </c>
      <c r="R76" s="4">
        <v>868220000</v>
      </c>
      <c r="S76" s="4">
        <v>905093000</v>
      </c>
    </row>
    <row r="77" spans="1:19" ht="16" x14ac:dyDescent="0.2">
      <c r="A77" s="3" t="s">
        <v>86</v>
      </c>
      <c r="B77" s="4">
        <v>6103000</v>
      </c>
      <c r="C77" s="4">
        <v>18411000</v>
      </c>
      <c r="D77" s="4">
        <v>15062000</v>
      </c>
      <c r="E77" s="4">
        <v>8247000</v>
      </c>
      <c r="F77" s="4">
        <v>7047000</v>
      </c>
      <c r="G77" s="4">
        <v>609000</v>
      </c>
      <c r="H77" s="4">
        <v>-8230000</v>
      </c>
      <c r="I77" s="4">
        <v>-17955000</v>
      </c>
      <c r="J77" s="4">
        <v>-30899000</v>
      </c>
      <c r="K77" s="4">
        <v>-13042000</v>
      </c>
      <c r="L77" s="4">
        <v>-1034000</v>
      </c>
      <c r="M77" s="4">
        <v>19221000</v>
      </c>
      <c r="N77" s="4">
        <v>28657000</v>
      </c>
      <c r="O77" s="5">
        <v>174611000</v>
      </c>
      <c r="P77" s="4">
        <v>109929000</v>
      </c>
      <c r="Q77" s="4">
        <v>28657000</v>
      </c>
      <c r="R77" s="4">
        <v>154915000</v>
      </c>
      <c r="S77" s="4">
        <v>174611000</v>
      </c>
    </row>
    <row r="78" spans="1:19" ht="16" x14ac:dyDescent="0.2">
      <c r="A78" s="3" t="s">
        <v>87</v>
      </c>
      <c r="B78" s="4">
        <v>8810000</v>
      </c>
      <c r="C78" s="4">
        <v>24141000</v>
      </c>
      <c r="D78" s="4">
        <v>25541000</v>
      </c>
      <c r="E78" s="4">
        <v>24853000</v>
      </c>
      <c r="F78" s="4">
        <v>30824000</v>
      </c>
      <c r="G78" s="4">
        <v>32118000</v>
      </c>
      <c r="H78" s="4">
        <v>31440000</v>
      </c>
      <c r="I78" s="4">
        <v>26483000</v>
      </c>
      <c r="J78" s="4">
        <v>20998000</v>
      </c>
      <c r="K78" s="4">
        <v>39053000</v>
      </c>
      <c r="L78" s="4">
        <v>60668000</v>
      </c>
      <c r="M78" s="4">
        <v>96587000</v>
      </c>
      <c r="N78" s="4">
        <v>132746000</v>
      </c>
      <c r="O78" s="5">
        <v>174611000</v>
      </c>
      <c r="P78" s="4">
        <v>109929000</v>
      </c>
      <c r="Q78" s="4">
        <v>132746000</v>
      </c>
      <c r="R78" s="4">
        <v>154915000</v>
      </c>
      <c r="S78" s="4">
        <v>174611000</v>
      </c>
    </row>
    <row r="79" spans="1:19" ht="16" x14ac:dyDescent="0.2">
      <c r="A79" s="3" t="s">
        <v>88</v>
      </c>
      <c r="B79" s="4">
        <v>2707000</v>
      </c>
      <c r="C79" s="4">
        <v>5730000</v>
      </c>
      <c r="D79" s="4">
        <v>10479000</v>
      </c>
      <c r="E79" s="4">
        <v>16606000</v>
      </c>
      <c r="F79" s="4">
        <v>23777000</v>
      </c>
      <c r="G79" s="4">
        <v>31509000</v>
      </c>
      <c r="H79" s="4">
        <v>39670000</v>
      </c>
      <c r="I79" s="4">
        <v>44438000</v>
      </c>
      <c r="J79" s="4">
        <v>51897000</v>
      </c>
      <c r="K79" s="4">
        <v>52095000</v>
      </c>
      <c r="L79" s="4">
        <v>61702000</v>
      </c>
      <c r="M79" s="4">
        <v>77366000</v>
      </c>
      <c r="N79" s="4">
        <v>104089000</v>
      </c>
      <c r="O79" s="5" t="s">
        <v>24</v>
      </c>
      <c r="P79" s="4" t="s">
        <v>24</v>
      </c>
      <c r="Q79" s="4">
        <v>104089000</v>
      </c>
      <c r="R79" s="4" t="s">
        <v>24</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445000</v>
      </c>
      <c r="C83" s="4">
        <v>4561000</v>
      </c>
      <c r="D83" s="4">
        <v>12231000</v>
      </c>
      <c r="E83" s="4">
        <v>17913000</v>
      </c>
      <c r="F83" s="4">
        <v>30249000</v>
      </c>
      <c r="G83" s="4">
        <v>43151000</v>
      </c>
      <c r="H83" s="4">
        <v>53942000</v>
      </c>
      <c r="I83" s="4">
        <v>56656000</v>
      </c>
      <c r="J83" s="4">
        <v>148534000</v>
      </c>
      <c r="K83" s="4">
        <v>226608000</v>
      </c>
      <c r="L83" s="4">
        <v>268072000</v>
      </c>
      <c r="M83" s="4">
        <v>597574000</v>
      </c>
      <c r="N83" s="4">
        <v>791352000</v>
      </c>
      <c r="O83" s="5">
        <v>730482000</v>
      </c>
      <c r="P83" s="4">
        <v>605242000</v>
      </c>
      <c r="Q83" s="4">
        <v>791352000</v>
      </c>
      <c r="R83" s="4">
        <v>713305000</v>
      </c>
      <c r="S83" s="4">
        <v>730482000</v>
      </c>
    </row>
    <row r="84" spans="1:19" ht="16" x14ac:dyDescent="0.2">
      <c r="A84" s="3" t="s">
        <v>93</v>
      </c>
      <c r="B84" s="4" t="s">
        <v>24</v>
      </c>
      <c r="C84" s="4" t="s">
        <v>24</v>
      </c>
      <c r="D84" s="4" t="s">
        <v>24</v>
      </c>
      <c r="E84" s="4">
        <v>286000</v>
      </c>
      <c r="F84" s="4">
        <v>5556000</v>
      </c>
      <c r="G84" s="4">
        <v>5965000</v>
      </c>
      <c r="H84" s="4">
        <v>4609000</v>
      </c>
      <c r="I84" s="4">
        <v>4179000</v>
      </c>
      <c r="J84" s="4">
        <v>60089000</v>
      </c>
      <c r="K84" s="4">
        <v>55362000</v>
      </c>
      <c r="L84" s="4">
        <v>53591000</v>
      </c>
      <c r="M84" s="4">
        <v>279012000</v>
      </c>
      <c r="N84" s="4">
        <v>313100000</v>
      </c>
      <c r="O84" s="5">
        <v>300250000</v>
      </c>
      <c r="P84" s="4">
        <v>286432000</v>
      </c>
      <c r="Q84" s="4">
        <v>313100000</v>
      </c>
      <c r="R84" s="4">
        <v>306638000</v>
      </c>
      <c r="S84" s="4">
        <v>300250000</v>
      </c>
    </row>
    <row r="85" spans="1:19" ht="16" x14ac:dyDescent="0.2">
      <c r="A85" s="3" t="s">
        <v>94</v>
      </c>
      <c r="B85" s="4" t="s">
        <v>24</v>
      </c>
      <c r="C85" s="4" t="s">
        <v>24</v>
      </c>
      <c r="D85" s="4" t="s">
        <v>24</v>
      </c>
      <c r="E85" s="4" t="s">
        <v>24</v>
      </c>
      <c r="F85" s="4">
        <v>3745000</v>
      </c>
      <c r="G85" s="4">
        <v>3745000</v>
      </c>
      <c r="H85" s="4">
        <v>3664000</v>
      </c>
      <c r="I85" s="4">
        <v>3664000</v>
      </c>
      <c r="J85" s="4">
        <v>24783000</v>
      </c>
      <c r="K85" s="4">
        <v>24783000</v>
      </c>
      <c r="L85" s="4">
        <v>24783000</v>
      </c>
      <c r="M85" s="4">
        <v>181254000</v>
      </c>
      <c r="N85" s="4">
        <v>213559000</v>
      </c>
      <c r="O85" s="5">
        <v>214290000</v>
      </c>
      <c r="P85" s="4">
        <v>195508000</v>
      </c>
      <c r="Q85" s="4">
        <v>213559000</v>
      </c>
      <c r="R85" s="4">
        <v>213882000</v>
      </c>
      <c r="S85" s="4">
        <v>214290000</v>
      </c>
    </row>
    <row r="86" spans="1:19" ht="16" x14ac:dyDescent="0.2">
      <c r="A86" s="3" t="s">
        <v>95</v>
      </c>
      <c r="B86" s="4" t="s">
        <v>24</v>
      </c>
      <c r="C86" s="4" t="s">
        <v>24</v>
      </c>
      <c r="D86" s="4" t="s">
        <v>24</v>
      </c>
      <c r="E86" s="4">
        <v>286000</v>
      </c>
      <c r="F86" s="4">
        <v>1811000</v>
      </c>
      <c r="G86" s="4">
        <v>2220000</v>
      </c>
      <c r="H86" s="4">
        <v>945000</v>
      </c>
      <c r="I86" s="4">
        <v>515000</v>
      </c>
      <c r="J86" s="4">
        <v>35306000</v>
      </c>
      <c r="K86" s="4">
        <v>30579000</v>
      </c>
      <c r="L86" s="4">
        <v>28808000</v>
      </c>
      <c r="M86" s="4">
        <v>97758000</v>
      </c>
      <c r="N86" s="4">
        <v>99541000</v>
      </c>
      <c r="O86" s="5">
        <v>85960000</v>
      </c>
      <c r="P86" s="4">
        <v>90924000</v>
      </c>
      <c r="Q86" s="4">
        <v>99541000</v>
      </c>
      <c r="R86" s="4">
        <v>92756000</v>
      </c>
      <c r="S86" s="4">
        <v>85960000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445000</v>
      </c>
      <c r="C89" s="4">
        <v>4561000</v>
      </c>
      <c r="D89" s="4">
        <v>12231000</v>
      </c>
      <c r="E89" s="4">
        <v>17627000</v>
      </c>
      <c r="F89" s="4">
        <v>24693000</v>
      </c>
      <c r="G89" s="4">
        <v>37186000</v>
      </c>
      <c r="H89" s="4">
        <v>49333000</v>
      </c>
      <c r="I89" s="4">
        <v>52477000</v>
      </c>
      <c r="J89" s="4">
        <v>88445000</v>
      </c>
      <c r="K89" s="4">
        <v>171246000</v>
      </c>
      <c r="L89" s="4">
        <v>214481000</v>
      </c>
      <c r="M89" s="4">
        <v>318562000</v>
      </c>
      <c r="N89" s="4">
        <v>478252000</v>
      </c>
      <c r="O89" s="5">
        <v>430232000</v>
      </c>
      <c r="P89" s="4">
        <v>318810000</v>
      </c>
      <c r="Q89" s="4">
        <v>478252000</v>
      </c>
      <c r="R89" s="4">
        <v>406667000</v>
      </c>
      <c r="S89" s="4">
        <v>430232000</v>
      </c>
    </row>
    <row r="90" spans="1:19" ht="16" x14ac:dyDescent="0.2">
      <c r="A90" s="3" t="s">
        <v>99</v>
      </c>
      <c r="B90" s="4">
        <v>59504000</v>
      </c>
      <c r="C90" s="4">
        <v>104759000</v>
      </c>
      <c r="D90" s="4">
        <v>122291000</v>
      </c>
      <c r="E90" s="4">
        <v>116669000</v>
      </c>
      <c r="F90" s="4">
        <v>152192000</v>
      </c>
      <c r="G90" s="4">
        <v>165528000</v>
      </c>
      <c r="H90" s="4">
        <v>163576000</v>
      </c>
      <c r="I90" s="4">
        <v>169147000</v>
      </c>
      <c r="J90" s="4">
        <v>339937000</v>
      </c>
      <c r="K90" s="4">
        <v>713223000</v>
      </c>
      <c r="L90" s="4">
        <v>1200102000</v>
      </c>
      <c r="M90" s="4">
        <v>2079256000</v>
      </c>
      <c r="N90" s="4">
        <v>3084280000</v>
      </c>
      <c r="O90" s="5">
        <v>3465882000</v>
      </c>
      <c r="P90" s="4">
        <v>2697835000</v>
      </c>
      <c r="Q90" s="4">
        <v>3084280000</v>
      </c>
      <c r="R90" s="4">
        <v>3380853000</v>
      </c>
      <c r="S90" s="4">
        <v>3465882000</v>
      </c>
    </row>
    <row r="91" spans="1:19" ht="16" x14ac:dyDescent="0.2">
      <c r="A91" s="3" t="s">
        <v>100</v>
      </c>
      <c r="B91" s="4">
        <v>9431000</v>
      </c>
      <c r="C91" s="4">
        <v>23028000</v>
      </c>
      <c r="D91" s="4">
        <v>30538000</v>
      </c>
      <c r="E91" s="4">
        <v>27085000</v>
      </c>
      <c r="F91" s="4">
        <v>55959000</v>
      </c>
      <c r="G91" s="4">
        <v>51933000</v>
      </c>
      <c r="H91" s="4">
        <v>63229000</v>
      </c>
      <c r="I91" s="4">
        <v>58621000</v>
      </c>
      <c r="J91" s="4">
        <v>85887000</v>
      </c>
      <c r="K91" s="4">
        <v>104566000</v>
      </c>
      <c r="L91" s="4">
        <v>149151000</v>
      </c>
      <c r="M91" s="4">
        <v>271679000</v>
      </c>
      <c r="N91" s="4">
        <v>421024000</v>
      </c>
      <c r="O91" s="5">
        <v>504360000</v>
      </c>
      <c r="P91" s="4">
        <v>326786000</v>
      </c>
      <c r="Q91" s="4">
        <v>421024000</v>
      </c>
      <c r="R91" s="4">
        <v>502842000</v>
      </c>
      <c r="S91" s="4">
        <v>504360000</v>
      </c>
    </row>
    <row r="92" spans="1:19" ht="16" x14ac:dyDescent="0.2">
      <c r="A92" s="3" t="s">
        <v>101</v>
      </c>
      <c r="B92" s="4">
        <v>6521000</v>
      </c>
      <c r="C92" s="4">
        <v>12928000</v>
      </c>
      <c r="D92" s="4">
        <v>11272000</v>
      </c>
      <c r="E92" s="4">
        <v>7363000</v>
      </c>
      <c r="F92" s="4">
        <v>22316000</v>
      </c>
      <c r="G92" s="4">
        <v>25569000</v>
      </c>
      <c r="H92" s="4">
        <v>31696000</v>
      </c>
      <c r="I92" s="4">
        <v>28747000</v>
      </c>
      <c r="J92" s="4">
        <v>48794000</v>
      </c>
      <c r="K92" s="4">
        <v>57474000</v>
      </c>
      <c r="L92" s="4">
        <v>72609000</v>
      </c>
      <c r="M92" s="4">
        <v>113767000</v>
      </c>
      <c r="N92" s="4">
        <v>125085000</v>
      </c>
      <c r="O92" s="5">
        <v>79075000</v>
      </c>
      <c r="P92" s="4">
        <v>92823000</v>
      </c>
      <c r="Q92" s="4">
        <v>125085000</v>
      </c>
      <c r="R92" s="4">
        <v>106154000</v>
      </c>
      <c r="S92" s="4">
        <v>79075000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v>7571000</v>
      </c>
      <c r="N93" s="4">
        <v>35998000</v>
      </c>
      <c r="O93" s="5">
        <v>116782000</v>
      </c>
      <c r="P93" s="4">
        <v>31980000</v>
      </c>
      <c r="Q93" s="4">
        <v>35998000</v>
      </c>
      <c r="R93" s="4">
        <v>89798000</v>
      </c>
      <c r="S93" s="4">
        <v>116782000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2910000</v>
      </c>
      <c r="C95" s="4">
        <v>10100000</v>
      </c>
      <c r="D95" s="4">
        <v>19266000</v>
      </c>
      <c r="E95" s="4">
        <v>19722000</v>
      </c>
      <c r="F95" s="4">
        <v>33643000</v>
      </c>
      <c r="G95" s="4">
        <v>26364000</v>
      </c>
      <c r="H95" s="4">
        <v>31533000</v>
      </c>
      <c r="I95" s="4">
        <v>29874000</v>
      </c>
      <c r="J95" s="4">
        <v>37093000</v>
      </c>
      <c r="K95" s="4">
        <v>47092000</v>
      </c>
      <c r="L95" s="4">
        <v>76542000</v>
      </c>
      <c r="M95" s="4">
        <v>150341000</v>
      </c>
      <c r="N95" s="4">
        <v>259941000</v>
      </c>
      <c r="O95" s="5">
        <v>308503000</v>
      </c>
      <c r="P95" s="4">
        <v>201983000</v>
      </c>
      <c r="Q95" s="4">
        <v>259941000</v>
      </c>
      <c r="R95" s="4">
        <v>306890000</v>
      </c>
      <c r="S95" s="4">
        <v>308503000</v>
      </c>
    </row>
    <row r="96" spans="1:19" ht="16" x14ac:dyDescent="0.2">
      <c r="A96" s="3" t="s">
        <v>105</v>
      </c>
      <c r="B96" s="4">
        <v>2567000</v>
      </c>
      <c r="C96" s="4">
        <v>4529000</v>
      </c>
      <c r="D96" s="4">
        <v>2384000</v>
      </c>
      <c r="E96" s="4">
        <v>3507000</v>
      </c>
      <c r="F96" s="4" t="s">
        <v>24</v>
      </c>
      <c r="G96" s="4">
        <v>17000000</v>
      </c>
      <c r="H96" s="4">
        <v>13132000</v>
      </c>
      <c r="I96" s="4">
        <v>17429000</v>
      </c>
      <c r="J96" s="4">
        <v>28155000</v>
      </c>
      <c r="K96" s="4">
        <v>2884000</v>
      </c>
      <c r="L96" s="4">
        <v>325967000</v>
      </c>
      <c r="M96" s="4">
        <v>86052000</v>
      </c>
      <c r="N96" s="4">
        <v>90892000</v>
      </c>
      <c r="O96" s="5">
        <v>93383000</v>
      </c>
      <c r="P96" s="4">
        <v>93847000</v>
      </c>
      <c r="Q96" s="4">
        <v>90892000</v>
      </c>
      <c r="R96" s="4">
        <v>92115000</v>
      </c>
      <c r="S96" s="4">
        <v>93383000</v>
      </c>
    </row>
    <row r="97" spans="1:19" ht="16" x14ac:dyDescent="0.2">
      <c r="A97" s="3" t="s">
        <v>106</v>
      </c>
      <c r="B97" s="4">
        <v>2567000</v>
      </c>
      <c r="C97" s="4">
        <v>4529000</v>
      </c>
      <c r="D97" s="4">
        <v>2384000</v>
      </c>
      <c r="E97" s="4">
        <v>3507000</v>
      </c>
      <c r="F97" s="4" t="s">
        <v>24</v>
      </c>
      <c r="G97" s="4">
        <v>17000000</v>
      </c>
      <c r="H97" s="4">
        <v>13132000</v>
      </c>
      <c r="I97" s="4">
        <v>17429000</v>
      </c>
      <c r="J97" s="4">
        <v>28155000</v>
      </c>
      <c r="K97" s="4">
        <v>2884000</v>
      </c>
      <c r="L97" s="4">
        <v>325967000</v>
      </c>
      <c r="M97" s="4">
        <v>86052000</v>
      </c>
      <c r="N97" s="4">
        <v>90892000</v>
      </c>
      <c r="O97" s="5">
        <v>93383000</v>
      </c>
      <c r="P97" s="4">
        <v>89654000</v>
      </c>
      <c r="Q97" s="4">
        <v>90892000</v>
      </c>
      <c r="R97" s="4">
        <v>92115000</v>
      </c>
      <c r="S97" s="4">
        <v>93383000</v>
      </c>
    </row>
    <row r="98" spans="1:19" ht="16" x14ac:dyDescent="0.2">
      <c r="A98" s="3" t="s">
        <v>107</v>
      </c>
      <c r="B98" s="4" t="s">
        <v>24</v>
      </c>
      <c r="C98" s="4" t="s">
        <v>24</v>
      </c>
      <c r="D98" s="4" t="s">
        <v>24</v>
      </c>
      <c r="E98" s="4" t="s">
        <v>24</v>
      </c>
      <c r="F98" s="4" t="s">
        <v>24</v>
      </c>
      <c r="G98" s="4" t="s">
        <v>24</v>
      </c>
      <c r="H98" s="4" t="s">
        <v>24</v>
      </c>
      <c r="I98" s="4" t="s">
        <v>24</v>
      </c>
      <c r="J98" s="4" t="s">
        <v>24</v>
      </c>
      <c r="K98" s="4">
        <v>3170000</v>
      </c>
      <c r="L98" s="4">
        <v>4542000</v>
      </c>
      <c r="M98" s="4">
        <v>3830000</v>
      </c>
      <c r="N98" s="4">
        <v>5371000</v>
      </c>
      <c r="O98" s="5">
        <v>5773000</v>
      </c>
      <c r="P98" s="4">
        <v>4193000</v>
      </c>
      <c r="Q98" s="4">
        <v>5371000</v>
      </c>
      <c r="R98" s="4">
        <v>5624000</v>
      </c>
      <c r="S98" s="4">
        <v>5773000</v>
      </c>
    </row>
    <row r="99" spans="1:19" ht="16" x14ac:dyDescent="0.2">
      <c r="A99" s="3" t="s">
        <v>108</v>
      </c>
      <c r="B99" s="4">
        <v>1205000</v>
      </c>
      <c r="C99" s="4">
        <v>23414000</v>
      </c>
      <c r="D99" s="4">
        <v>933000</v>
      </c>
      <c r="E99" s="4">
        <v>2773000</v>
      </c>
      <c r="F99" s="4">
        <v>2747000</v>
      </c>
      <c r="G99" s="4">
        <v>3915000</v>
      </c>
      <c r="H99" s="4">
        <v>6411000</v>
      </c>
      <c r="I99" s="4">
        <v>15691000</v>
      </c>
      <c r="J99" s="4">
        <v>33119000</v>
      </c>
      <c r="K99" s="4">
        <v>91861000</v>
      </c>
      <c r="L99" s="4">
        <v>58925000</v>
      </c>
      <c r="M99" s="4">
        <v>82065000</v>
      </c>
      <c r="N99" s="4">
        <v>126303000</v>
      </c>
      <c r="O99" s="5">
        <v>145862000</v>
      </c>
      <c r="P99" s="4">
        <v>129603000</v>
      </c>
      <c r="Q99" s="4">
        <v>126303000</v>
      </c>
      <c r="R99" s="4">
        <v>134332000</v>
      </c>
      <c r="S99" s="4">
        <v>145862000</v>
      </c>
    </row>
    <row r="100" spans="1:19" ht="16" x14ac:dyDescent="0.2">
      <c r="A100" s="3" t="s">
        <v>109</v>
      </c>
      <c r="B100" s="4">
        <v>595000</v>
      </c>
      <c r="C100" s="4">
        <v>23414000</v>
      </c>
      <c r="D100" s="4">
        <v>933000</v>
      </c>
      <c r="E100" s="4">
        <v>2773000</v>
      </c>
      <c r="F100" s="4">
        <v>2747000</v>
      </c>
      <c r="G100" s="4">
        <v>3915000</v>
      </c>
      <c r="H100" s="4">
        <v>6411000</v>
      </c>
      <c r="I100" s="4">
        <v>15691000</v>
      </c>
      <c r="J100" s="4">
        <v>33119000</v>
      </c>
      <c r="K100" s="4">
        <v>81783000</v>
      </c>
      <c r="L100" s="4">
        <v>47665000</v>
      </c>
      <c r="M100" s="4">
        <v>62670000</v>
      </c>
      <c r="N100" s="4">
        <v>90747000</v>
      </c>
      <c r="O100" s="5">
        <v>109176000</v>
      </c>
      <c r="P100" s="4">
        <v>79609000</v>
      </c>
      <c r="Q100" s="4">
        <v>90747000</v>
      </c>
      <c r="R100" s="4">
        <v>99819000</v>
      </c>
      <c r="S100" s="4">
        <v>109176000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610000</v>
      </c>
      <c r="C103" s="4" t="s">
        <v>24</v>
      </c>
      <c r="D103" s="4" t="s">
        <v>24</v>
      </c>
      <c r="E103" s="4" t="s">
        <v>24</v>
      </c>
      <c r="F103" s="4" t="s">
        <v>24</v>
      </c>
      <c r="G103" s="4" t="s">
        <v>24</v>
      </c>
      <c r="H103" s="4" t="s">
        <v>24</v>
      </c>
      <c r="I103" s="4" t="s">
        <v>24</v>
      </c>
      <c r="J103" s="4" t="s">
        <v>24</v>
      </c>
      <c r="K103" s="4">
        <v>10078000</v>
      </c>
      <c r="L103" s="4">
        <v>11260000</v>
      </c>
      <c r="M103" s="4">
        <v>19395000</v>
      </c>
      <c r="N103" s="4">
        <v>35556000</v>
      </c>
      <c r="O103" s="5">
        <v>36686000</v>
      </c>
      <c r="P103" s="4">
        <v>49994000</v>
      </c>
      <c r="Q103" s="4">
        <v>35556000</v>
      </c>
      <c r="R103" s="4">
        <v>34513000</v>
      </c>
      <c r="S103" s="4">
        <v>36686000</v>
      </c>
    </row>
    <row r="104" spans="1:19" ht="16" x14ac:dyDescent="0.2">
      <c r="A104" s="3" t="s">
        <v>113</v>
      </c>
      <c r="B104" s="4">
        <v>13203000</v>
      </c>
      <c r="C104" s="4">
        <v>50971000</v>
      </c>
      <c r="D104" s="4">
        <v>33855000</v>
      </c>
      <c r="E104" s="4">
        <v>33365000</v>
      </c>
      <c r="F104" s="4">
        <v>58706000</v>
      </c>
      <c r="G104" s="4">
        <v>72848000</v>
      </c>
      <c r="H104" s="4">
        <v>82772000</v>
      </c>
      <c r="I104" s="4">
        <v>91741000</v>
      </c>
      <c r="J104" s="4">
        <v>147161000</v>
      </c>
      <c r="K104" s="4">
        <v>199311000</v>
      </c>
      <c r="L104" s="4">
        <v>534043000</v>
      </c>
      <c r="M104" s="4">
        <v>439796000</v>
      </c>
      <c r="N104" s="4">
        <v>638219000</v>
      </c>
      <c r="O104" s="5">
        <v>743605000</v>
      </c>
      <c r="P104" s="4">
        <v>550236000</v>
      </c>
      <c r="Q104" s="4">
        <v>638219000</v>
      </c>
      <c r="R104" s="4">
        <v>729289000</v>
      </c>
      <c r="S104" s="4">
        <v>743605000</v>
      </c>
    </row>
    <row r="105" spans="1:19" ht="16" x14ac:dyDescent="0.2">
      <c r="A105" s="3" t="s">
        <v>114</v>
      </c>
      <c r="B105" s="4">
        <v>4336000</v>
      </c>
      <c r="C105" s="4">
        <v>10148000</v>
      </c>
      <c r="D105" s="4">
        <v>8677000</v>
      </c>
      <c r="E105" s="4">
        <v>5170000</v>
      </c>
      <c r="F105" s="4" t="s">
        <v>24</v>
      </c>
      <c r="G105" s="4" t="s">
        <v>24</v>
      </c>
      <c r="H105" s="4">
        <v>20768000</v>
      </c>
      <c r="I105" s="4">
        <v>32322000</v>
      </c>
      <c r="J105" s="4">
        <v>81628000</v>
      </c>
      <c r="K105" s="4">
        <v>102659000</v>
      </c>
      <c r="L105" s="4">
        <v>4898000</v>
      </c>
      <c r="M105" s="4">
        <v>951594000</v>
      </c>
      <c r="N105" s="4">
        <v>1199465000</v>
      </c>
      <c r="O105" s="5">
        <v>1201114000</v>
      </c>
      <c r="P105" s="4">
        <v>1198627000</v>
      </c>
      <c r="Q105" s="4">
        <v>1199465000</v>
      </c>
      <c r="R105" s="4">
        <v>1200276000</v>
      </c>
      <c r="S105" s="4">
        <v>1201114000</v>
      </c>
    </row>
    <row r="106" spans="1:19" ht="16" x14ac:dyDescent="0.2">
      <c r="A106" s="3" t="s">
        <v>115</v>
      </c>
      <c r="B106" s="4">
        <v>4336000</v>
      </c>
      <c r="C106" s="4">
        <v>10148000</v>
      </c>
      <c r="D106" s="4">
        <v>8677000</v>
      </c>
      <c r="E106" s="4">
        <v>5170000</v>
      </c>
      <c r="F106" s="4" t="s">
        <v>24</v>
      </c>
      <c r="G106" s="4" t="s">
        <v>24</v>
      </c>
      <c r="H106" s="4">
        <v>20768000</v>
      </c>
      <c r="I106" s="4">
        <v>32322000</v>
      </c>
      <c r="J106" s="4">
        <v>81628000</v>
      </c>
      <c r="K106" s="4">
        <v>102659000</v>
      </c>
      <c r="L106" s="4">
        <v>4898000</v>
      </c>
      <c r="M106" s="4">
        <v>951594000</v>
      </c>
      <c r="N106" s="4">
        <v>1199465000</v>
      </c>
      <c r="O106" s="5">
        <v>1201114000</v>
      </c>
      <c r="P106" s="4">
        <v>1198627000</v>
      </c>
      <c r="Q106" s="4">
        <v>1199465000</v>
      </c>
      <c r="R106" s="4">
        <v>1200276000</v>
      </c>
      <c r="S106" s="4">
        <v>1201114000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t="s">
        <v>24</v>
      </c>
      <c r="M107" s="4" t="s">
        <v>24</v>
      </c>
      <c r="N107" s="4" t="s">
        <v>24</v>
      </c>
      <c r="O107" s="5" t="s">
        <v>24</v>
      </c>
      <c r="P107" s="4" t="s">
        <v>24</v>
      </c>
      <c r="Q107" s="4" t="s">
        <v>24</v>
      </c>
      <c r="R107" s="4" t="s">
        <v>24</v>
      </c>
      <c r="S107" s="4" t="s">
        <v>24</v>
      </c>
    </row>
    <row r="108" spans="1:19" ht="16" x14ac:dyDescent="0.2">
      <c r="A108" s="3" t="s">
        <v>117</v>
      </c>
      <c r="B108" s="4">
        <v>3484000</v>
      </c>
      <c r="C108" s="4">
        <v>10548000</v>
      </c>
      <c r="D108" s="4">
        <v>23104000</v>
      </c>
      <c r="E108" s="4">
        <v>37928000</v>
      </c>
      <c r="F108" s="4">
        <v>46534000</v>
      </c>
      <c r="G108" s="4">
        <v>51231000</v>
      </c>
      <c r="H108" s="4">
        <v>58736000</v>
      </c>
      <c r="I108" s="4">
        <v>54210000</v>
      </c>
      <c r="J108" s="4">
        <v>103372000</v>
      </c>
      <c r="K108" s="4">
        <v>139041000</v>
      </c>
      <c r="L108" s="4">
        <v>177168000</v>
      </c>
      <c r="M108" s="4">
        <v>257698000</v>
      </c>
      <c r="N108" s="4">
        <v>421023000</v>
      </c>
      <c r="O108" s="5">
        <v>548576000</v>
      </c>
      <c r="P108" s="4">
        <v>338919000</v>
      </c>
      <c r="Q108" s="4">
        <v>421023000</v>
      </c>
      <c r="R108" s="4">
        <v>481195000</v>
      </c>
      <c r="S108" s="4">
        <v>548576000</v>
      </c>
    </row>
    <row r="109" spans="1:19" ht="16" x14ac:dyDescent="0.2">
      <c r="A109" s="3" t="s">
        <v>118</v>
      </c>
      <c r="B109" s="4">
        <v>1044000</v>
      </c>
      <c r="C109" s="4">
        <v>3670000</v>
      </c>
      <c r="D109" s="4">
        <v>7537000</v>
      </c>
      <c r="E109" s="4">
        <v>11284000</v>
      </c>
      <c r="F109" s="4">
        <v>16612000</v>
      </c>
      <c r="G109" s="4">
        <v>25115000</v>
      </c>
      <c r="H109" s="4">
        <v>33893000</v>
      </c>
      <c r="I109" s="4">
        <v>29941000</v>
      </c>
      <c r="J109" s="4">
        <v>76911000</v>
      </c>
      <c r="K109" s="4">
        <v>100204000</v>
      </c>
      <c r="L109" s="4">
        <v>125473000</v>
      </c>
      <c r="M109" s="4">
        <v>187186000</v>
      </c>
      <c r="N109" s="4">
        <v>281613000</v>
      </c>
      <c r="O109" s="5">
        <v>354296000</v>
      </c>
      <c r="P109" s="4">
        <v>239971000</v>
      </c>
      <c r="Q109" s="4">
        <v>281613000</v>
      </c>
      <c r="R109" s="4">
        <v>322487000</v>
      </c>
      <c r="S109" s="4">
        <v>354296000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2440000</v>
      </c>
      <c r="C114" s="4">
        <v>6878000</v>
      </c>
      <c r="D114" s="4">
        <v>15567000</v>
      </c>
      <c r="E114" s="4">
        <v>26644000</v>
      </c>
      <c r="F114" s="4">
        <v>29922000</v>
      </c>
      <c r="G114" s="4">
        <v>26116000</v>
      </c>
      <c r="H114" s="4">
        <v>24843000</v>
      </c>
      <c r="I114" s="4">
        <v>24269000</v>
      </c>
      <c r="J114" s="4">
        <v>26461000</v>
      </c>
      <c r="K114" s="4">
        <v>38837000</v>
      </c>
      <c r="L114" s="4">
        <v>51695000</v>
      </c>
      <c r="M114" s="4">
        <v>70512000</v>
      </c>
      <c r="N114" s="4">
        <v>139410000</v>
      </c>
      <c r="O114" s="5">
        <v>194280000</v>
      </c>
      <c r="P114" s="4">
        <v>98948000</v>
      </c>
      <c r="Q114" s="4">
        <v>139410000</v>
      </c>
      <c r="R114" s="4">
        <v>158708000</v>
      </c>
      <c r="S114" s="4">
        <v>194280000</v>
      </c>
    </row>
    <row r="115" spans="1:19" ht="16" x14ac:dyDescent="0.2">
      <c r="A115" s="3" t="s">
        <v>121</v>
      </c>
      <c r="B115" s="4">
        <v>7820000</v>
      </c>
      <c r="C115" s="4">
        <v>20696000</v>
      </c>
      <c r="D115" s="4">
        <v>31781000</v>
      </c>
      <c r="E115" s="4">
        <v>43098000</v>
      </c>
      <c r="F115" s="4">
        <v>46534000</v>
      </c>
      <c r="G115" s="4">
        <v>51231000</v>
      </c>
      <c r="H115" s="4">
        <v>79504000</v>
      </c>
      <c r="I115" s="4">
        <v>86532000</v>
      </c>
      <c r="J115" s="4">
        <v>185000000</v>
      </c>
      <c r="K115" s="4">
        <v>241700000</v>
      </c>
      <c r="L115" s="4">
        <v>182066000</v>
      </c>
      <c r="M115" s="4">
        <v>1209292000</v>
      </c>
      <c r="N115" s="4">
        <v>1620488000</v>
      </c>
      <c r="O115" s="5">
        <v>1749690000</v>
      </c>
      <c r="P115" s="4">
        <v>1537546000</v>
      </c>
      <c r="Q115" s="4">
        <v>1620488000</v>
      </c>
      <c r="R115" s="4">
        <v>1681471000</v>
      </c>
      <c r="S115" s="4">
        <v>1749690000</v>
      </c>
    </row>
    <row r="116" spans="1:19" ht="16" x14ac:dyDescent="0.2">
      <c r="A116" s="3" t="s">
        <v>122</v>
      </c>
      <c r="B116" s="4">
        <v>21023000</v>
      </c>
      <c r="C116" s="4">
        <v>71667000</v>
      </c>
      <c r="D116" s="4">
        <v>65636000</v>
      </c>
      <c r="E116" s="4">
        <v>76463000</v>
      </c>
      <c r="F116" s="4">
        <v>105240000</v>
      </c>
      <c r="G116" s="4">
        <v>124079000</v>
      </c>
      <c r="H116" s="4">
        <v>162276000</v>
      </c>
      <c r="I116" s="4">
        <v>178273000</v>
      </c>
      <c r="J116" s="4">
        <v>332161000</v>
      </c>
      <c r="K116" s="4">
        <v>441011000</v>
      </c>
      <c r="L116" s="4">
        <v>716109000</v>
      </c>
      <c r="M116" s="4">
        <v>1649088000</v>
      </c>
      <c r="N116" s="4">
        <v>2258707000</v>
      </c>
      <c r="O116" s="5">
        <v>2493295000</v>
      </c>
      <c r="P116" s="4">
        <v>2087782000</v>
      </c>
      <c r="Q116" s="4">
        <v>2258707000</v>
      </c>
      <c r="R116" s="4">
        <v>2410760000</v>
      </c>
      <c r="S116" s="4">
        <v>2493295000</v>
      </c>
    </row>
    <row r="117" spans="1:19" ht="16" x14ac:dyDescent="0.2">
      <c r="A117" s="3" t="s">
        <v>123</v>
      </c>
      <c r="B117" s="4">
        <v>93596000</v>
      </c>
      <c r="C117" s="4">
        <v>93596000</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1403000</v>
      </c>
      <c r="C118" s="4">
        <v>124811000</v>
      </c>
      <c r="D118" s="4">
        <v>183629000</v>
      </c>
      <c r="E118" s="4">
        <v>192916000</v>
      </c>
      <c r="F118" s="4">
        <v>208022000</v>
      </c>
      <c r="G118" s="4">
        <v>224732000</v>
      </c>
      <c r="H118" s="4">
        <v>252127000</v>
      </c>
      <c r="I118" s="4">
        <v>287257000</v>
      </c>
      <c r="J118" s="4">
        <v>353336000</v>
      </c>
      <c r="K118" s="4">
        <v>458316000</v>
      </c>
      <c r="L118" s="4">
        <v>534745000</v>
      </c>
      <c r="M118" s="4">
        <v>837925000</v>
      </c>
      <c r="N118" s="4">
        <v>819120000</v>
      </c>
      <c r="O118" s="5">
        <v>858040000</v>
      </c>
      <c r="P118" s="4">
        <v>762013000</v>
      </c>
      <c r="Q118" s="4">
        <v>819120000</v>
      </c>
      <c r="R118" s="4">
        <v>812619000</v>
      </c>
      <c r="S118" s="4">
        <v>858040000</v>
      </c>
    </row>
    <row r="119" spans="1:19" ht="16" x14ac:dyDescent="0.2">
      <c r="A119" s="3" t="s">
        <v>125</v>
      </c>
      <c r="B119" s="4" t="s">
        <v>24</v>
      </c>
      <c r="C119" s="4" t="s">
        <v>24</v>
      </c>
      <c r="D119" s="4" t="s">
        <v>24</v>
      </c>
      <c r="E119" s="4" t="s">
        <v>24</v>
      </c>
      <c r="F119" s="4" t="s">
        <v>24</v>
      </c>
      <c r="G119" s="4" t="s">
        <v>24</v>
      </c>
      <c r="H119" s="4">
        <v>1000</v>
      </c>
      <c r="I119" s="4">
        <v>1000</v>
      </c>
      <c r="J119" s="4">
        <v>1000</v>
      </c>
      <c r="K119" s="4">
        <v>1000</v>
      </c>
      <c r="L119" s="4">
        <v>1000</v>
      </c>
      <c r="M119" s="4">
        <v>1000</v>
      </c>
      <c r="N119" s="4">
        <v>1000</v>
      </c>
      <c r="O119" s="5">
        <v>1000</v>
      </c>
      <c r="P119" s="4">
        <v>1000</v>
      </c>
      <c r="Q119" s="4">
        <v>1000</v>
      </c>
      <c r="R119" s="4">
        <v>1000</v>
      </c>
      <c r="S119" s="4">
        <v>1000</v>
      </c>
    </row>
    <row r="120" spans="1:19" ht="16" x14ac:dyDescent="0.2">
      <c r="A120" s="3" t="s">
        <v>126</v>
      </c>
      <c r="B120" s="4">
        <v>1403000</v>
      </c>
      <c r="C120" s="4">
        <v>124811000</v>
      </c>
      <c r="D120" s="4">
        <v>183629000</v>
      </c>
      <c r="E120" s="4">
        <v>192916000</v>
      </c>
      <c r="F120" s="4">
        <v>208022000</v>
      </c>
      <c r="G120" s="4">
        <v>224732000</v>
      </c>
      <c r="H120" s="4">
        <v>252126000</v>
      </c>
      <c r="I120" s="4">
        <v>287256000</v>
      </c>
      <c r="J120" s="4">
        <v>353335000</v>
      </c>
      <c r="K120" s="4">
        <v>458315000</v>
      </c>
      <c r="L120" s="4">
        <v>534744000</v>
      </c>
      <c r="M120" s="4">
        <v>837924000</v>
      </c>
      <c r="N120" s="4">
        <v>819119000</v>
      </c>
      <c r="O120" s="5">
        <v>858039000</v>
      </c>
      <c r="P120" s="4">
        <v>762012000</v>
      </c>
      <c r="Q120" s="4">
        <v>819119000</v>
      </c>
      <c r="R120" s="4">
        <v>812618000</v>
      </c>
      <c r="S120" s="4">
        <v>858039000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v>68140000</v>
      </c>
      <c r="P121" s="4" t="s">
        <v>24</v>
      </c>
      <c r="Q121" s="4" t="s">
        <v>24</v>
      </c>
      <c r="R121" s="4" t="s">
        <v>24</v>
      </c>
      <c r="S121" s="4">
        <v>68140000</v>
      </c>
    </row>
    <row r="122" spans="1:19" ht="16" x14ac:dyDescent="0.2">
      <c r="A122" s="3" t="s">
        <v>128</v>
      </c>
      <c r="B122" s="4">
        <v>-56518000</v>
      </c>
      <c r="C122" s="4">
        <v>-91802000</v>
      </c>
      <c r="D122" s="4">
        <v>-127026000</v>
      </c>
      <c r="E122" s="4">
        <v>-152939000</v>
      </c>
      <c r="F122" s="4">
        <v>-160991000</v>
      </c>
      <c r="G122" s="4">
        <v>-183073000</v>
      </c>
      <c r="H122" s="4">
        <v>-250535000</v>
      </c>
      <c r="I122" s="4">
        <v>-295727000</v>
      </c>
      <c r="J122" s="4">
        <v>-346302000</v>
      </c>
      <c r="K122" s="4">
        <v>-185181000</v>
      </c>
      <c r="L122" s="4">
        <v>-51186000</v>
      </c>
      <c r="M122" s="4">
        <v>-405737000</v>
      </c>
      <c r="N122" s="4">
        <v>17335000</v>
      </c>
      <c r="O122" s="5">
        <v>189539000</v>
      </c>
      <c r="P122" s="4">
        <v>-136418000</v>
      </c>
      <c r="Q122" s="4">
        <v>17335000</v>
      </c>
      <c r="R122" s="4">
        <v>164208000</v>
      </c>
      <c r="S122" s="4">
        <v>189539000</v>
      </c>
    </row>
    <row r="123" spans="1:19" ht="16" x14ac:dyDescent="0.2">
      <c r="A123" s="3" t="s">
        <v>129</v>
      </c>
      <c r="B123" s="4" t="s">
        <v>24</v>
      </c>
      <c r="C123" s="4">
        <v>83000</v>
      </c>
      <c r="D123" s="4">
        <v>52000</v>
      </c>
      <c r="E123" s="4">
        <v>229000</v>
      </c>
      <c r="F123" s="4">
        <v>-79000</v>
      </c>
      <c r="G123" s="4">
        <v>-210000</v>
      </c>
      <c r="H123" s="4">
        <v>-292000</v>
      </c>
      <c r="I123" s="4">
        <v>-656000</v>
      </c>
      <c r="J123" s="4">
        <v>742000</v>
      </c>
      <c r="K123" s="4">
        <v>-923000</v>
      </c>
      <c r="L123" s="4">
        <v>434000</v>
      </c>
      <c r="M123" s="4">
        <v>-2020000</v>
      </c>
      <c r="N123" s="4">
        <v>-10882000</v>
      </c>
      <c r="O123" s="5">
        <v>-6852000</v>
      </c>
      <c r="P123" s="4">
        <v>-15542000</v>
      </c>
      <c r="Q123" s="4">
        <v>-10882000</v>
      </c>
      <c r="R123" s="4">
        <v>-6734000</v>
      </c>
      <c r="S123" s="4">
        <v>-6852000</v>
      </c>
    </row>
    <row r="124" spans="1:19" ht="16" x14ac:dyDescent="0.2">
      <c r="A124" s="3" t="s">
        <v>130</v>
      </c>
      <c r="B124" s="4">
        <v>38481000</v>
      </c>
      <c r="C124" s="4">
        <v>33092000</v>
      </c>
      <c r="D124" s="4">
        <v>56655000</v>
      </c>
      <c r="E124" s="4">
        <v>40206000</v>
      </c>
      <c r="F124" s="4">
        <v>46952000</v>
      </c>
      <c r="G124" s="4">
        <v>41449000</v>
      </c>
      <c r="H124" s="4">
        <v>1300000</v>
      </c>
      <c r="I124" s="4">
        <v>-9126000</v>
      </c>
      <c r="J124" s="4">
        <v>7776000</v>
      </c>
      <c r="K124" s="4">
        <v>272212000</v>
      </c>
      <c r="L124" s="4">
        <v>483993000</v>
      </c>
      <c r="M124" s="4">
        <v>430168000</v>
      </c>
      <c r="N124" s="4">
        <v>825573000</v>
      </c>
      <c r="O124" s="5">
        <v>972587000</v>
      </c>
      <c r="P124" s="4">
        <v>610053000</v>
      </c>
      <c r="Q124" s="4">
        <v>825573000</v>
      </c>
      <c r="R124" s="4">
        <v>970093000</v>
      </c>
      <c r="S124" s="4">
        <v>972587000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38481000</v>
      </c>
      <c r="C126" s="4">
        <v>33092000</v>
      </c>
      <c r="D126" s="4">
        <v>56655000</v>
      </c>
      <c r="E126" s="4">
        <v>40206000</v>
      </c>
      <c r="F126" s="4">
        <v>46952000</v>
      </c>
      <c r="G126" s="4">
        <v>41449000</v>
      </c>
      <c r="H126" s="4">
        <v>1300000</v>
      </c>
      <c r="I126" s="4">
        <v>-9126000</v>
      </c>
      <c r="J126" s="4">
        <v>7776000</v>
      </c>
      <c r="K126" s="4">
        <v>272212000</v>
      </c>
      <c r="L126" s="4">
        <v>483993000</v>
      </c>
      <c r="M126" s="4">
        <v>430168000</v>
      </c>
      <c r="N126" s="4">
        <v>825573000</v>
      </c>
      <c r="O126" s="5">
        <v>972587000</v>
      </c>
      <c r="P126" s="4">
        <v>610053000</v>
      </c>
      <c r="Q126" s="4">
        <v>825573000</v>
      </c>
      <c r="R126" s="4">
        <v>970093000</v>
      </c>
      <c r="S126" s="4">
        <v>972587000</v>
      </c>
    </row>
    <row r="127" spans="1:19" ht="16" x14ac:dyDescent="0.2">
      <c r="A127" s="3" t="s">
        <v>133</v>
      </c>
      <c r="B127" s="4">
        <v>59504000</v>
      </c>
      <c r="C127" s="4">
        <v>104759000</v>
      </c>
      <c r="D127" s="4">
        <v>122291000</v>
      </c>
      <c r="E127" s="4">
        <v>116669000</v>
      </c>
      <c r="F127" s="4">
        <v>152192000</v>
      </c>
      <c r="G127" s="4">
        <v>165528000</v>
      </c>
      <c r="H127" s="4">
        <v>163576000</v>
      </c>
      <c r="I127" s="4">
        <v>169147000</v>
      </c>
      <c r="J127" s="4">
        <v>339937000</v>
      </c>
      <c r="K127" s="4">
        <v>713223000</v>
      </c>
      <c r="L127" s="4">
        <v>1200102000</v>
      </c>
      <c r="M127" s="4">
        <v>2079256000</v>
      </c>
      <c r="N127" s="4">
        <v>3084280000</v>
      </c>
      <c r="O127" s="5">
        <v>3465882000</v>
      </c>
      <c r="P127" s="4">
        <v>2697835000</v>
      </c>
      <c r="Q127" s="4">
        <v>3084280000</v>
      </c>
      <c r="R127" s="4">
        <v>3380853000</v>
      </c>
      <c r="S127" s="4">
        <v>3465882000</v>
      </c>
    </row>
    <row r="128" spans="1:19" ht="16" x14ac:dyDescent="0.2">
      <c r="A128" s="28" t="s">
        <v>134</v>
      </c>
      <c r="B128" s="26">
        <v>39290870</v>
      </c>
      <c r="C128" s="26">
        <v>1713000</v>
      </c>
      <c r="D128" s="26">
        <v>40856000</v>
      </c>
      <c r="E128" s="26">
        <v>42123000</v>
      </c>
      <c r="F128" s="26">
        <v>43756000</v>
      </c>
      <c r="G128" s="26">
        <v>45821000</v>
      </c>
      <c r="H128" s="26">
        <v>62269000</v>
      </c>
      <c r="I128" s="26">
        <v>85914000</v>
      </c>
      <c r="J128" s="26">
        <v>107035000</v>
      </c>
      <c r="K128" s="26">
        <v>123109000</v>
      </c>
      <c r="L128" s="26">
        <v>128962000</v>
      </c>
      <c r="M128" s="26">
        <v>133894000</v>
      </c>
      <c r="N128" s="26">
        <v>136441000</v>
      </c>
      <c r="O128" s="27">
        <v>136006000</v>
      </c>
      <c r="P128" s="26">
        <v>135857000</v>
      </c>
      <c r="Q128" s="26">
        <v>136441000</v>
      </c>
      <c r="R128" s="26">
        <v>137002000</v>
      </c>
      <c r="S128" s="26">
        <v>136006000</v>
      </c>
    </row>
    <row r="129" spans="1:19" ht="16" x14ac:dyDescent="0.2">
      <c r="A129" s="13" t="s">
        <v>197</v>
      </c>
      <c r="B129" s="10"/>
      <c r="C129" s="11">
        <f>(C128/B128)-1</f>
        <v>-0.95640208526815518</v>
      </c>
      <c r="D129" s="11">
        <f>(D128/C128)-1</f>
        <v>22.850554582603621</v>
      </c>
      <c r="E129" s="11">
        <f>(E128/D128)-1</f>
        <v>3.1011356961033965E-2</v>
      </c>
      <c r="F129" s="11">
        <f t="shared" ref="F129:N129" si="6">(F128/E128)-1</f>
        <v>3.8767419224651656E-2</v>
      </c>
      <c r="G129" s="11">
        <f t="shared" si="6"/>
        <v>4.7193527744766373E-2</v>
      </c>
      <c r="H129" s="11">
        <f t="shared" si="6"/>
        <v>0.35896204796927167</v>
      </c>
      <c r="I129" s="11">
        <f t="shared" si="6"/>
        <v>0.37972345790039985</v>
      </c>
      <c r="J129" s="11">
        <f t="shared" si="6"/>
        <v>0.24583886211793193</v>
      </c>
      <c r="K129" s="11">
        <f t="shared" si="6"/>
        <v>0.15017517634418653</v>
      </c>
      <c r="L129" s="11">
        <f t="shared" si="6"/>
        <v>4.7543234044627125E-2</v>
      </c>
      <c r="M129" s="11">
        <f t="shared" si="6"/>
        <v>3.8243823762038387E-2</v>
      </c>
      <c r="N129" s="11">
        <f t="shared" si="6"/>
        <v>1.9022510344003374E-2</v>
      </c>
      <c r="O129" s="11">
        <f>(O128/N128)-1</f>
        <v>-3.1881912328405315E-3</v>
      </c>
      <c r="P129" s="11"/>
      <c r="Q129" s="11">
        <f>(Q128/P128)-1</f>
        <v>4.2986375379994168E-3</v>
      </c>
      <c r="R129" s="11">
        <f>(R128/Q128)-1</f>
        <v>4.1116673140770832E-3</v>
      </c>
      <c r="S129" s="11">
        <f>(S128/R128)-1</f>
        <v>-7.2699668617975943E-3</v>
      </c>
    </row>
    <row r="130" spans="1:19" ht="16" x14ac:dyDescent="0.2">
      <c r="A130" s="3" t="s">
        <v>135</v>
      </c>
      <c r="B130" s="4" t="s">
        <v>24</v>
      </c>
      <c r="C130" s="4" t="s">
        <v>24</v>
      </c>
      <c r="D130" s="4" t="s">
        <v>24</v>
      </c>
      <c r="E130" s="4" t="s">
        <v>24</v>
      </c>
      <c r="F130" s="4" t="s">
        <v>24</v>
      </c>
      <c r="G130" s="4" t="s">
        <v>24</v>
      </c>
      <c r="H130" s="4" t="s">
        <v>24</v>
      </c>
      <c r="I130" s="4" t="s">
        <v>24</v>
      </c>
      <c r="J130" s="4" t="s">
        <v>24</v>
      </c>
      <c r="K130" s="4">
        <v>3170000</v>
      </c>
      <c r="L130" s="4">
        <v>4542000</v>
      </c>
      <c r="M130" s="4">
        <v>3830000</v>
      </c>
      <c r="N130" s="4">
        <v>5371000</v>
      </c>
      <c r="O130" s="5">
        <v>5773000</v>
      </c>
      <c r="P130" s="4">
        <v>4193000</v>
      </c>
      <c r="Q130" s="4">
        <v>5371000</v>
      </c>
      <c r="R130" s="4">
        <v>5624000</v>
      </c>
      <c r="S130" s="4">
        <v>5773000</v>
      </c>
    </row>
    <row r="131" spans="1:19" ht="16" x14ac:dyDescent="0.2">
      <c r="A131" s="3" t="s">
        <v>136</v>
      </c>
      <c r="B131" s="4">
        <v>-33090000</v>
      </c>
      <c r="C131" s="4">
        <v>-36847000</v>
      </c>
      <c r="D131" s="4">
        <v>-34233000</v>
      </c>
      <c r="E131" s="4">
        <v>-29513000</v>
      </c>
      <c r="F131" s="4">
        <v>-42032000</v>
      </c>
      <c r="G131" s="4">
        <v>-11452000</v>
      </c>
      <c r="H131" s="4">
        <v>16136000</v>
      </c>
      <c r="I131" s="4">
        <v>20607000</v>
      </c>
      <c r="J131" s="4">
        <v>3546000</v>
      </c>
      <c r="K131" s="4">
        <v>-145866000</v>
      </c>
      <c r="L131" s="4">
        <v>-348514000</v>
      </c>
      <c r="M131" s="4">
        <v>918330000</v>
      </c>
      <c r="N131" s="4">
        <v>817113000</v>
      </c>
      <c r="O131" s="5">
        <v>1015821000</v>
      </c>
      <c r="P131" s="4">
        <v>950698000</v>
      </c>
      <c r="Q131" s="4">
        <v>817113000</v>
      </c>
      <c r="R131" s="4">
        <v>1006346000</v>
      </c>
      <c r="S131" s="4">
        <v>1015821000</v>
      </c>
    </row>
    <row r="132" spans="1:19" ht="16" x14ac:dyDescent="0.2">
      <c r="A132" s="3" t="s">
        <v>137</v>
      </c>
      <c r="B132" s="6">
        <v>-85.99</v>
      </c>
      <c r="C132" s="6">
        <v>-111.35</v>
      </c>
      <c r="D132" s="6">
        <v>-60.42</v>
      </c>
      <c r="E132" s="6">
        <v>-73.400000000000006</v>
      </c>
      <c r="F132" s="6">
        <v>-89.52</v>
      </c>
      <c r="G132" s="6">
        <v>-27.63</v>
      </c>
      <c r="H132" s="6">
        <v>1241.23</v>
      </c>
      <c r="I132" s="6">
        <v>-225.81</v>
      </c>
      <c r="J132" s="6">
        <v>45.6</v>
      </c>
      <c r="K132" s="6">
        <v>-53.59</v>
      </c>
      <c r="L132" s="6">
        <v>-72.010000000000005</v>
      </c>
      <c r="M132" s="6">
        <v>213.48</v>
      </c>
      <c r="N132" s="6">
        <v>98.98</v>
      </c>
      <c r="O132" s="7">
        <v>104.45</v>
      </c>
      <c r="P132" s="6">
        <v>155.84</v>
      </c>
      <c r="Q132" s="6">
        <v>98.98</v>
      </c>
      <c r="R132" s="6">
        <v>103.74</v>
      </c>
      <c r="S132" s="6">
        <v>104.45</v>
      </c>
    </row>
    <row r="133" spans="1:19" ht="16" x14ac:dyDescent="0.2">
      <c r="A133" s="3" t="s">
        <v>138</v>
      </c>
      <c r="B133" s="6">
        <v>-92.62</v>
      </c>
      <c r="C133" s="6">
        <v>-57.76</v>
      </c>
      <c r="D133" s="6">
        <v>46.33</v>
      </c>
      <c r="E133" s="6">
        <v>34.299999999999997</v>
      </c>
      <c r="F133" s="6">
        <v>28.23</v>
      </c>
      <c r="G133" s="6">
        <v>22.24</v>
      </c>
      <c r="H133" s="6">
        <v>-2.08</v>
      </c>
      <c r="I133" s="6">
        <v>-8.07</v>
      </c>
      <c r="J133" s="6">
        <v>-18.690000000000001</v>
      </c>
      <c r="K133" s="6">
        <v>32.96</v>
      </c>
      <c r="L133" s="6">
        <v>37.54</v>
      </c>
      <c r="M133" s="6">
        <v>8.4</v>
      </c>
      <c r="N133" s="6">
        <v>18.489999999999998</v>
      </c>
      <c r="O133" s="7">
        <v>21.24</v>
      </c>
      <c r="P133" s="6">
        <v>13.42</v>
      </c>
      <c r="Q133" s="6">
        <v>18.489999999999998</v>
      </c>
      <c r="R133" s="6">
        <v>21.58</v>
      </c>
      <c r="S133" s="6">
        <v>21.24</v>
      </c>
    </row>
    <row r="134" spans="1:19" ht="16" x14ac:dyDescent="0.2">
      <c r="A134" s="3" t="s">
        <v>139</v>
      </c>
      <c r="B134" s="6">
        <v>4.01</v>
      </c>
      <c r="C134" s="6">
        <v>1.6</v>
      </c>
      <c r="D134" s="6">
        <v>2.81</v>
      </c>
      <c r="E134" s="6">
        <v>2.71</v>
      </c>
      <c r="F134" s="6">
        <v>1.96</v>
      </c>
      <c r="G134" s="6">
        <v>1.67</v>
      </c>
      <c r="H134" s="6">
        <v>1.42</v>
      </c>
      <c r="I134" s="6">
        <v>1.42</v>
      </c>
      <c r="J134" s="6">
        <v>1.51</v>
      </c>
      <c r="K134" s="6">
        <v>2.5099999999999998</v>
      </c>
      <c r="L134" s="6">
        <v>1.75</v>
      </c>
      <c r="M134" s="6">
        <v>3.33</v>
      </c>
      <c r="N134" s="6">
        <v>3.55</v>
      </c>
      <c r="O134" s="7">
        <v>3.44</v>
      </c>
      <c r="P134" s="6">
        <v>3.6</v>
      </c>
      <c r="Q134" s="6">
        <v>3.55</v>
      </c>
      <c r="R134" s="6">
        <v>3.45</v>
      </c>
      <c r="S134" s="6">
        <v>3.44</v>
      </c>
    </row>
    <row r="135" spans="1:19" ht="16" x14ac:dyDescent="0.2">
      <c r="A135" s="3" t="s">
        <v>140</v>
      </c>
      <c r="B135" s="6">
        <v>27.61</v>
      </c>
      <c r="C135" s="6">
        <v>27.43</v>
      </c>
      <c r="D135" s="6">
        <v>47.49</v>
      </c>
      <c r="E135" s="6">
        <v>66.099999999999994</v>
      </c>
      <c r="F135" s="6">
        <v>48.18</v>
      </c>
      <c r="G135" s="6">
        <v>59.74</v>
      </c>
      <c r="H135" s="6">
        <v>69.92</v>
      </c>
      <c r="I135" s="6">
        <v>77.34</v>
      </c>
      <c r="J135" s="6">
        <v>51.32</v>
      </c>
      <c r="K135" s="6">
        <v>41.16</v>
      </c>
      <c r="L135" s="6">
        <v>54.46</v>
      </c>
      <c r="M135" s="6">
        <v>54.19</v>
      </c>
      <c r="N135" s="6">
        <v>60.35</v>
      </c>
      <c r="O135" s="7">
        <v>69.56</v>
      </c>
      <c r="P135" s="6">
        <v>63.82</v>
      </c>
      <c r="Q135" s="6">
        <v>60.35</v>
      </c>
      <c r="R135" s="6">
        <v>66.33</v>
      </c>
      <c r="S135" s="6">
        <v>69.56</v>
      </c>
    </row>
    <row r="136" spans="1:19" ht="16" x14ac:dyDescent="0.2">
      <c r="A136" s="3" t="s">
        <v>141</v>
      </c>
      <c r="B136" s="4" t="s">
        <v>24</v>
      </c>
      <c r="C136" s="4" t="s">
        <v>24</v>
      </c>
      <c r="D136" s="4">
        <v>384</v>
      </c>
      <c r="E136" s="4">
        <v>398</v>
      </c>
      <c r="F136" s="4">
        <v>539</v>
      </c>
      <c r="G136" s="4">
        <v>543</v>
      </c>
      <c r="H136" s="4">
        <v>430</v>
      </c>
      <c r="I136" s="4">
        <v>336</v>
      </c>
      <c r="J136" s="4">
        <v>427</v>
      </c>
      <c r="K136" s="4">
        <v>577</v>
      </c>
      <c r="L136" s="4">
        <v>850</v>
      </c>
      <c r="M136" s="4">
        <v>2260</v>
      </c>
      <c r="N136" s="4">
        <v>2821</v>
      </c>
      <c r="O136" s="5">
        <v>2821</v>
      </c>
      <c r="P136" s="4">
        <v>2260</v>
      </c>
      <c r="Q136" s="4">
        <v>2821</v>
      </c>
      <c r="R136" s="4">
        <v>2821</v>
      </c>
      <c r="S136" s="4">
        <v>2821</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-21777000</v>
      </c>
      <c r="C139" s="4">
        <v>-32290000</v>
      </c>
      <c r="D139" s="4">
        <v>-38218000</v>
      </c>
      <c r="E139" s="4">
        <v>-25913000</v>
      </c>
      <c r="F139" s="4">
        <v>-8052000</v>
      </c>
      <c r="G139" s="4">
        <v>-22082000</v>
      </c>
      <c r="H139" s="4">
        <v>-67462000</v>
      </c>
      <c r="I139" s="4">
        <v>-45192000</v>
      </c>
      <c r="J139" s="4">
        <v>-11627000</v>
      </c>
      <c r="K139" s="4">
        <v>161148000</v>
      </c>
      <c r="L139" s="4">
        <v>133995000</v>
      </c>
      <c r="M139" s="4">
        <v>145449000</v>
      </c>
      <c r="N139" s="4">
        <v>397362000</v>
      </c>
      <c r="O139" s="5">
        <v>572629000</v>
      </c>
      <c r="P139" s="4">
        <v>114812000</v>
      </c>
      <c r="Q139" s="4">
        <v>153753000</v>
      </c>
      <c r="R139" s="4">
        <v>146873000</v>
      </c>
      <c r="S139" s="4">
        <v>157191000</v>
      </c>
    </row>
    <row r="140" spans="1:19" ht="16" x14ac:dyDescent="0.2">
      <c r="A140" s="3" t="s">
        <v>143</v>
      </c>
      <c r="B140" s="4">
        <v>1550000</v>
      </c>
      <c r="C140" s="4">
        <v>3032000</v>
      </c>
      <c r="D140" s="4">
        <v>5568000</v>
      </c>
      <c r="E140" s="4">
        <v>6981000</v>
      </c>
      <c r="F140" s="4">
        <v>8259000</v>
      </c>
      <c r="G140" s="4">
        <v>10539000</v>
      </c>
      <c r="H140" s="4">
        <v>10638000</v>
      </c>
      <c r="I140" s="4">
        <v>9004000</v>
      </c>
      <c r="J140" s="4">
        <v>9667000</v>
      </c>
      <c r="K140" s="4">
        <v>14119000</v>
      </c>
      <c r="L140" s="4">
        <v>17225000</v>
      </c>
      <c r="M140" s="4">
        <v>32439000</v>
      </c>
      <c r="N140" s="4">
        <v>58775000</v>
      </c>
      <c r="O140" s="5">
        <v>62389000</v>
      </c>
      <c r="P140" s="4">
        <v>11961000</v>
      </c>
      <c r="Q140" s="4">
        <v>16009000</v>
      </c>
      <c r="R140" s="4">
        <v>16591000</v>
      </c>
      <c r="S140" s="4">
        <v>17828000</v>
      </c>
    </row>
    <row r="141" spans="1:19" ht="16" x14ac:dyDescent="0.2">
      <c r="A141" s="3" t="s">
        <v>144</v>
      </c>
      <c r="B141" s="4">
        <v>1132000</v>
      </c>
      <c r="C141" s="4">
        <v>4403000</v>
      </c>
      <c r="D141" s="4">
        <v>10211000</v>
      </c>
      <c r="E141" s="4">
        <v>8245000</v>
      </c>
      <c r="F141" s="4">
        <v>11183000</v>
      </c>
      <c r="G141" s="4">
        <v>13698000</v>
      </c>
      <c r="H141" s="4">
        <v>16769000</v>
      </c>
      <c r="I141" s="4">
        <v>10557000</v>
      </c>
      <c r="J141" s="4">
        <v>16568000</v>
      </c>
      <c r="K141" s="4">
        <v>-37625000</v>
      </c>
      <c r="L141" s="4">
        <v>88889000</v>
      </c>
      <c r="M141" s="4">
        <v>159077000</v>
      </c>
      <c r="N141" s="4">
        <v>226554000</v>
      </c>
      <c r="O141" s="5">
        <v>175182000</v>
      </c>
      <c r="P141" s="4">
        <v>55969000</v>
      </c>
      <c r="Q141" s="4">
        <v>48622000</v>
      </c>
      <c r="R141" s="4">
        <v>36396000</v>
      </c>
      <c r="S141" s="4">
        <v>34195000</v>
      </c>
    </row>
    <row r="142" spans="1:19" ht="16" x14ac:dyDescent="0.2">
      <c r="A142" s="28" t="s">
        <v>145</v>
      </c>
      <c r="B142" s="37">
        <v>829000</v>
      </c>
      <c r="C142" s="37">
        <v>2120000</v>
      </c>
      <c r="D142" s="37">
        <v>4766000</v>
      </c>
      <c r="E142" s="37">
        <v>6849000</v>
      </c>
      <c r="F142" s="37">
        <v>9740000</v>
      </c>
      <c r="G142" s="37">
        <v>12696000</v>
      </c>
      <c r="H142" s="37">
        <v>10326000</v>
      </c>
      <c r="I142" s="37">
        <v>6727000</v>
      </c>
      <c r="J142" s="37">
        <v>11432000</v>
      </c>
      <c r="K142" s="37">
        <v>20176000</v>
      </c>
      <c r="L142" s="37">
        <v>42503000</v>
      </c>
      <c r="M142" s="37">
        <v>114286000</v>
      </c>
      <c r="N142" s="37">
        <v>216802000</v>
      </c>
      <c r="O142" s="38">
        <v>229762000</v>
      </c>
      <c r="P142" s="37">
        <v>52296000</v>
      </c>
      <c r="Q142" s="37">
        <v>63645000</v>
      </c>
      <c r="R142" s="37">
        <v>59655000</v>
      </c>
      <c r="S142" s="37">
        <v>54166000</v>
      </c>
    </row>
    <row r="143" spans="1:19" ht="16" x14ac:dyDescent="0.2">
      <c r="A143" s="12" t="s">
        <v>198</v>
      </c>
      <c r="B143" s="19">
        <f t="shared" ref="B143:S143" si="7">B142/B2</f>
        <v>1.3444478681824816E-2</v>
      </c>
      <c r="C143" s="19">
        <f t="shared" si="7"/>
        <v>1.4178420711194933E-2</v>
      </c>
      <c r="D143" s="19">
        <f t="shared" si="7"/>
        <v>2.199577252882157E-2</v>
      </c>
      <c r="E143" s="19">
        <f t="shared" si="7"/>
        <v>2.9414290990611821E-2</v>
      </c>
      <c r="F143" s="19">
        <f t="shared" si="7"/>
        <v>2.8321857262491857E-2</v>
      </c>
      <c r="G143" s="19">
        <f t="shared" si="7"/>
        <v>3.5538238035655804E-2</v>
      </c>
      <c r="H143" s="19">
        <f t="shared" si="7"/>
        <v>3.200957249272298E-2</v>
      </c>
      <c r="I143" s="19">
        <f t="shared" si="7"/>
        <v>2.350733490351754E-2</v>
      </c>
      <c r="J143" s="19">
        <f t="shared" si="7"/>
        <v>3.615902125196499E-2</v>
      </c>
      <c r="K143" s="19">
        <f t="shared" si="7"/>
        <v>3.2316087728824203E-2</v>
      </c>
      <c r="L143" s="19">
        <f t="shared" si="7"/>
        <v>5.488330051328405E-2</v>
      </c>
      <c r="M143" s="19">
        <f t="shared" si="7"/>
        <v>8.2693160662176232E-2</v>
      </c>
      <c r="N143" s="19">
        <f t="shared" si="7"/>
        <v>9.3014016756955503E-2</v>
      </c>
      <c r="O143" s="19">
        <f t="shared" si="7"/>
        <v>8.2160587219948941E-2</v>
      </c>
      <c r="P143" s="19">
        <f t="shared" si="7"/>
        <v>8.2393144618118738E-2</v>
      </c>
      <c r="Q143" s="19">
        <f t="shared" si="7"/>
        <v>8.7828364511517251E-2</v>
      </c>
      <c r="R143" s="19">
        <f t="shared" si="7"/>
        <v>8.2167610631170659E-2</v>
      </c>
      <c r="S143" s="19">
        <f t="shared" si="7"/>
        <v>7.6170199601191368E-2</v>
      </c>
    </row>
    <row r="144" spans="1:19" ht="16" x14ac:dyDescent="0.2">
      <c r="A144" s="3" t="s">
        <v>146</v>
      </c>
      <c r="B144" s="4" t="s">
        <v>24</v>
      </c>
      <c r="C144" s="4" t="s">
        <v>24</v>
      </c>
      <c r="D144" s="4" t="s">
        <v>24</v>
      </c>
      <c r="E144" s="4">
        <v>-2000</v>
      </c>
      <c r="F144" s="4">
        <v>-35000</v>
      </c>
      <c r="G144" s="4">
        <v>642000</v>
      </c>
      <c r="H144" s="4">
        <v>651000</v>
      </c>
      <c r="I144" s="4">
        <v>-1394000</v>
      </c>
      <c r="J144" s="4">
        <v>123000</v>
      </c>
      <c r="K144" s="4">
        <v>-73375000</v>
      </c>
      <c r="L144" s="4">
        <v>-17117000</v>
      </c>
      <c r="M144" s="4">
        <v>-31241000</v>
      </c>
      <c r="N144" s="4">
        <v>3633000</v>
      </c>
      <c r="O144" s="5">
        <v>-38780000</v>
      </c>
      <c r="P144" s="4">
        <v>115000</v>
      </c>
      <c r="Q144" s="4">
        <v>-12099000</v>
      </c>
      <c r="R144" s="4">
        <v>-16181000</v>
      </c>
      <c r="S144" s="4">
        <v>-10615000</v>
      </c>
    </row>
    <row r="145" spans="1:19" ht="16" x14ac:dyDescent="0.2">
      <c r="A145" s="3" t="s">
        <v>147</v>
      </c>
      <c r="B145" s="4">
        <v>24000</v>
      </c>
      <c r="C145" s="4" t="s">
        <v>24</v>
      </c>
      <c r="D145" s="4">
        <v>120000</v>
      </c>
      <c r="E145" s="4">
        <v>82000</v>
      </c>
      <c r="F145" s="4">
        <v>249000</v>
      </c>
      <c r="G145" s="4">
        <v>522000</v>
      </c>
      <c r="H145" s="4">
        <v>3190000</v>
      </c>
      <c r="I145" s="4">
        <v>1681000</v>
      </c>
      <c r="J145" s="4">
        <v>1601000</v>
      </c>
      <c r="K145" s="4">
        <v>1124000</v>
      </c>
      <c r="L145" s="4" t="s">
        <v>24</v>
      </c>
      <c r="M145" s="4" t="s">
        <v>24</v>
      </c>
      <c r="N145" s="4">
        <v>1200000</v>
      </c>
      <c r="O145" s="5" t="s">
        <v>24</v>
      </c>
      <c r="P145" s="4" t="s">
        <v>24</v>
      </c>
      <c r="Q145" s="4" t="s">
        <v>24</v>
      </c>
      <c r="R145" s="4" t="s">
        <v>24</v>
      </c>
      <c r="S145" s="4" t="s">
        <v>24</v>
      </c>
    </row>
    <row r="146" spans="1:19" ht="16" x14ac:dyDescent="0.2">
      <c r="A146" s="3" t="s">
        <v>148</v>
      </c>
      <c r="B146" s="4">
        <v>279000</v>
      </c>
      <c r="C146" s="4">
        <v>2283000</v>
      </c>
      <c r="D146" s="4">
        <v>5325000</v>
      </c>
      <c r="E146" s="4">
        <v>1316000</v>
      </c>
      <c r="F146" s="4">
        <v>1229000</v>
      </c>
      <c r="G146" s="4">
        <v>-162000</v>
      </c>
      <c r="H146" s="4">
        <v>2602000</v>
      </c>
      <c r="I146" s="4">
        <v>3543000</v>
      </c>
      <c r="J146" s="4">
        <v>3412000</v>
      </c>
      <c r="K146" s="4">
        <v>14450000</v>
      </c>
      <c r="L146" s="4">
        <v>63503000</v>
      </c>
      <c r="M146" s="4">
        <v>76032000</v>
      </c>
      <c r="N146" s="4">
        <v>4919000</v>
      </c>
      <c r="O146" s="5">
        <v>-15800000</v>
      </c>
      <c r="P146" s="4">
        <v>3558000</v>
      </c>
      <c r="Q146" s="4">
        <v>-2924000</v>
      </c>
      <c r="R146" s="4">
        <v>-7078000</v>
      </c>
      <c r="S146" s="4">
        <v>-9356000</v>
      </c>
    </row>
    <row r="147" spans="1:19" ht="16" x14ac:dyDescent="0.2">
      <c r="A147" s="3" t="s">
        <v>149</v>
      </c>
      <c r="B147" s="4">
        <v>1243000</v>
      </c>
      <c r="C147" s="4">
        <v>24488000</v>
      </c>
      <c r="D147" s="4">
        <v>-22206000</v>
      </c>
      <c r="E147" s="4">
        <v>9815000</v>
      </c>
      <c r="F147" s="4">
        <v>12832000</v>
      </c>
      <c r="G147" s="4">
        <v>-23315000</v>
      </c>
      <c r="H147" s="4">
        <v>7102000</v>
      </c>
      <c r="I147" s="4">
        <v>-2811000</v>
      </c>
      <c r="J147" s="4">
        <v>1524000</v>
      </c>
      <c r="K147" s="4">
        <v>1425000</v>
      </c>
      <c r="L147" s="4">
        <v>-23775000</v>
      </c>
      <c r="M147" s="4">
        <v>15063000</v>
      </c>
      <c r="N147" s="4">
        <v>62126000</v>
      </c>
      <c r="O147" s="5">
        <v>146999000</v>
      </c>
      <c r="P147" s="4">
        <v>5268000</v>
      </c>
      <c r="Q147" s="4">
        <v>35330000</v>
      </c>
      <c r="R147" s="4">
        <v>46372000</v>
      </c>
      <c r="S147" s="4">
        <v>60029000</v>
      </c>
    </row>
    <row r="148" spans="1:19" ht="16" x14ac:dyDescent="0.2">
      <c r="A148" s="3" t="s">
        <v>150</v>
      </c>
      <c r="B148" s="4">
        <v>-1655000</v>
      </c>
      <c r="C148" s="4">
        <v>-9874000</v>
      </c>
      <c r="D148" s="4">
        <v>-11040000</v>
      </c>
      <c r="E148" s="4">
        <v>-5226000</v>
      </c>
      <c r="F148" s="4">
        <v>-13746000</v>
      </c>
      <c r="G148" s="4">
        <v>-2482000</v>
      </c>
      <c r="H148" s="4">
        <v>-18017000</v>
      </c>
      <c r="I148" s="4">
        <v>-4803000</v>
      </c>
      <c r="J148" s="4">
        <v>-13515000</v>
      </c>
      <c r="K148" s="4">
        <v>-68745000</v>
      </c>
      <c r="L148" s="4">
        <v>-34321000</v>
      </c>
      <c r="M148" s="4">
        <v>-151160000</v>
      </c>
      <c r="N148" s="4">
        <v>-107556000</v>
      </c>
      <c r="O148" s="5">
        <v>-218599000</v>
      </c>
      <c r="P148" s="4">
        <v>-46226000</v>
      </c>
      <c r="Q148" s="4">
        <v>-88876000</v>
      </c>
      <c r="R148" s="4">
        <v>-79529000</v>
      </c>
      <c r="S148" s="4">
        <v>-3968000</v>
      </c>
    </row>
    <row r="149" spans="1:19" ht="16" x14ac:dyDescent="0.2">
      <c r="A149" s="3" t="s">
        <v>151</v>
      </c>
      <c r="B149" s="4">
        <v>-3038000</v>
      </c>
      <c r="C149" s="4">
        <v>-6708000</v>
      </c>
      <c r="D149" s="4">
        <v>-8615000</v>
      </c>
      <c r="E149" s="4">
        <v>3263000</v>
      </c>
      <c r="F149" s="4">
        <v>-5010000</v>
      </c>
      <c r="G149" s="4">
        <v>-19210000</v>
      </c>
      <c r="H149" s="4">
        <v>8840000</v>
      </c>
      <c r="I149" s="4">
        <v>5961000</v>
      </c>
      <c r="J149" s="4">
        <v>9732000</v>
      </c>
      <c r="K149" s="4">
        <v>-15789000</v>
      </c>
      <c r="L149" s="4">
        <v>-9708000</v>
      </c>
      <c r="M149" s="4">
        <v>-29258000</v>
      </c>
      <c r="N149" s="4">
        <v>-75273000</v>
      </c>
      <c r="O149" s="5">
        <v>-35810000</v>
      </c>
      <c r="P149" s="4">
        <v>-16185000</v>
      </c>
      <c r="Q149" s="4">
        <v>-3222000</v>
      </c>
      <c r="R149" s="4">
        <v>-855000</v>
      </c>
      <c r="S149" s="4">
        <v>-15548000</v>
      </c>
    </row>
    <row r="150" spans="1:19" ht="16" x14ac:dyDescent="0.2">
      <c r="A150" s="3" t="s">
        <v>152</v>
      </c>
      <c r="B150" s="4">
        <v>-298000</v>
      </c>
      <c r="C150" s="4">
        <v>-1648000</v>
      </c>
      <c r="D150" s="4">
        <v>-711000</v>
      </c>
      <c r="E150" s="4">
        <v>-1450000</v>
      </c>
      <c r="F150" s="4">
        <v>-2547000</v>
      </c>
      <c r="G150" s="4">
        <v>-5281000</v>
      </c>
      <c r="H150" s="4">
        <v>-4759000</v>
      </c>
      <c r="I150" s="4">
        <v>-1227000</v>
      </c>
      <c r="J150" s="4">
        <v>-3130000</v>
      </c>
      <c r="K150" s="4">
        <v>-14293000</v>
      </c>
      <c r="L150" s="4">
        <v>-13758000</v>
      </c>
      <c r="M150" s="4">
        <v>-26885000</v>
      </c>
      <c r="N150" s="4">
        <v>-68423000</v>
      </c>
      <c r="O150" s="5">
        <v>-89064000</v>
      </c>
      <c r="P150" s="4">
        <v>526000</v>
      </c>
      <c r="Q150" s="4">
        <v>-47597000</v>
      </c>
      <c r="R150" s="4">
        <v>-21457000</v>
      </c>
      <c r="S150" s="4">
        <v>-20536000</v>
      </c>
    </row>
    <row r="151" spans="1:19" ht="16" x14ac:dyDescent="0.2">
      <c r="A151" s="3" t="s">
        <v>153</v>
      </c>
      <c r="B151" s="4">
        <v>4877000</v>
      </c>
      <c r="C151" s="4">
        <v>17275000</v>
      </c>
      <c r="D151" s="4">
        <v>16774000</v>
      </c>
      <c r="E151" s="4">
        <v>7641000</v>
      </c>
      <c r="F151" s="4">
        <v>28833000</v>
      </c>
      <c r="G151" s="4">
        <v>-6013000</v>
      </c>
      <c r="H151" s="4">
        <v>9764000</v>
      </c>
      <c r="I151" s="4">
        <v>-8070000</v>
      </c>
      <c r="J151" s="4">
        <v>23082000</v>
      </c>
      <c r="K151" s="4">
        <v>22200000</v>
      </c>
      <c r="L151" s="4">
        <v>35695000</v>
      </c>
      <c r="M151" s="4">
        <v>117183000</v>
      </c>
      <c r="N151" s="4">
        <v>133416000</v>
      </c>
      <c r="O151" s="5">
        <v>230413000</v>
      </c>
      <c r="P151" s="4">
        <v>32060000</v>
      </c>
      <c r="Q151" s="4">
        <v>91128000</v>
      </c>
      <c r="R151" s="4">
        <v>82540000</v>
      </c>
      <c r="S151" s="4">
        <v>24685000</v>
      </c>
    </row>
    <row r="152" spans="1:19" ht="16" x14ac:dyDescent="0.2">
      <c r="A152" s="3" t="s">
        <v>154</v>
      </c>
      <c r="B152" s="4">
        <v>1357000</v>
      </c>
      <c r="C152" s="4">
        <v>25443000</v>
      </c>
      <c r="D152" s="4">
        <v>-18614000</v>
      </c>
      <c r="E152" s="4">
        <v>5587000</v>
      </c>
      <c r="F152" s="4">
        <v>5302000</v>
      </c>
      <c r="G152" s="4">
        <v>9671000</v>
      </c>
      <c r="H152" s="4">
        <v>11274000</v>
      </c>
      <c r="I152" s="4">
        <v>5328000</v>
      </c>
      <c r="J152" s="4">
        <v>-14645000</v>
      </c>
      <c r="K152" s="4">
        <v>78052000</v>
      </c>
      <c r="L152" s="4">
        <v>-1683000</v>
      </c>
      <c r="M152" s="4">
        <v>105183000</v>
      </c>
      <c r="N152" s="4">
        <v>179962000</v>
      </c>
      <c r="O152" s="5">
        <v>260059000</v>
      </c>
      <c r="P152" s="4">
        <v>35093000</v>
      </c>
      <c r="Q152" s="4">
        <v>83897000</v>
      </c>
      <c r="R152" s="4">
        <v>65673000</v>
      </c>
      <c r="S152" s="4">
        <v>75396000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-17852000</v>
      </c>
      <c r="C154" s="4">
        <v>-367000</v>
      </c>
      <c r="D154" s="4">
        <v>-44645000</v>
      </c>
      <c r="E154" s="4">
        <v>-872000</v>
      </c>
      <c r="F154" s="4">
        <v>24222000</v>
      </c>
      <c r="G154" s="4">
        <v>-21160000</v>
      </c>
      <c r="H154" s="4">
        <v>-32953000</v>
      </c>
      <c r="I154" s="4">
        <v>-28442000</v>
      </c>
      <c r="J154" s="4">
        <v>16132000</v>
      </c>
      <c r="K154" s="4">
        <v>139067000</v>
      </c>
      <c r="L154" s="4">
        <v>216334000</v>
      </c>
      <c r="M154" s="4">
        <v>352028000</v>
      </c>
      <c r="N154" s="4">
        <v>744817000</v>
      </c>
      <c r="O154" s="5">
        <v>957199000</v>
      </c>
      <c r="P154" s="4">
        <v>188010000</v>
      </c>
      <c r="Q154" s="4">
        <v>253714000</v>
      </c>
      <c r="R154" s="4">
        <v>246232000</v>
      </c>
      <c r="S154" s="4">
        <v>269243000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-3262000</v>
      </c>
      <c r="C159" s="4">
        <v>-14662000</v>
      </c>
      <c r="D159" s="4">
        <v>-12990000</v>
      </c>
      <c r="E159" s="4">
        <v>-6257000</v>
      </c>
      <c r="F159" s="4">
        <v>-13999000</v>
      </c>
      <c r="G159" s="4">
        <v>-12762000</v>
      </c>
      <c r="H159" s="4">
        <v>-12845000</v>
      </c>
      <c r="I159" s="4">
        <v>-4121000</v>
      </c>
      <c r="J159" s="4">
        <v>-4151000</v>
      </c>
      <c r="K159" s="4">
        <v>-14788000</v>
      </c>
      <c r="L159" s="4">
        <v>-20558000</v>
      </c>
      <c r="M159" s="4">
        <v>-52508000</v>
      </c>
      <c r="N159" s="4">
        <v>-46443000</v>
      </c>
      <c r="O159" s="5">
        <v>-91855000</v>
      </c>
      <c r="P159" s="4">
        <v>-8948000</v>
      </c>
      <c r="Q159" s="4">
        <v>-16429000</v>
      </c>
      <c r="R159" s="4">
        <v>-22476000</v>
      </c>
      <c r="S159" s="4">
        <v>-44002000</v>
      </c>
    </row>
    <row r="160" spans="1:19" ht="16" x14ac:dyDescent="0.2">
      <c r="A160" s="3" t="s">
        <v>162</v>
      </c>
      <c r="B160" s="4">
        <v>-3262000</v>
      </c>
      <c r="C160" s="4">
        <v>-14662000</v>
      </c>
      <c r="D160" s="4">
        <v>-12990000</v>
      </c>
      <c r="E160" s="4">
        <v>-6257000</v>
      </c>
      <c r="F160" s="4">
        <v>-13249000</v>
      </c>
      <c r="G160" s="4">
        <v>-12525000</v>
      </c>
      <c r="H160" s="4">
        <v>-12167000</v>
      </c>
      <c r="I160" s="4">
        <v>-4121000</v>
      </c>
      <c r="J160" s="4">
        <v>-4151000</v>
      </c>
      <c r="K160" s="4">
        <v>-14788000</v>
      </c>
      <c r="L160" s="4">
        <v>-20558000</v>
      </c>
      <c r="M160" s="4">
        <v>-52258000</v>
      </c>
      <c r="N160" s="4">
        <v>-46443000</v>
      </c>
      <c r="O160" s="5">
        <v>-91855000</v>
      </c>
      <c r="P160" s="4">
        <v>-8948000</v>
      </c>
      <c r="Q160" s="4">
        <v>-16429000</v>
      </c>
      <c r="R160" s="4">
        <v>-22476000</v>
      </c>
      <c r="S160" s="4">
        <v>-44002000</v>
      </c>
    </row>
    <row r="161" spans="1:19" ht="16" x14ac:dyDescent="0.2">
      <c r="A161" s="3" t="s">
        <v>163</v>
      </c>
      <c r="B161" s="4" t="s">
        <v>24</v>
      </c>
      <c r="C161" s="4" t="s">
        <v>24</v>
      </c>
      <c r="D161" s="4" t="s">
        <v>24</v>
      </c>
      <c r="E161" s="4" t="s">
        <v>24</v>
      </c>
      <c r="F161" s="4">
        <v>-750000</v>
      </c>
      <c r="G161" s="4">
        <v>-237000</v>
      </c>
      <c r="H161" s="4">
        <v>-678000</v>
      </c>
      <c r="I161" s="4" t="s">
        <v>24</v>
      </c>
      <c r="J161" s="4" t="s">
        <v>24</v>
      </c>
      <c r="K161" s="4" t="s">
        <v>24</v>
      </c>
      <c r="L161" s="4" t="s">
        <v>24</v>
      </c>
      <c r="M161" s="4">
        <v>-250000</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t="s">
        <v>24</v>
      </c>
      <c r="H162" s="4" t="s">
        <v>24</v>
      </c>
      <c r="I162" s="4" t="s">
        <v>24</v>
      </c>
      <c r="J162" s="4" t="s">
        <v>24</v>
      </c>
      <c r="K162" s="4" t="s">
        <v>24</v>
      </c>
      <c r="L162" s="4">
        <v>-5010000</v>
      </c>
      <c r="M162" s="4">
        <v>-957956000</v>
      </c>
      <c r="N162" s="4">
        <v>-263301000</v>
      </c>
      <c r="O162" s="5">
        <v>-757377000</v>
      </c>
      <c r="P162" s="4">
        <v>-329053000</v>
      </c>
      <c r="Q162" s="4">
        <v>-67220000</v>
      </c>
      <c r="R162" s="4">
        <v>-341054000</v>
      </c>
      <c r="S162" s="4">
        <v>-20050000</v>
      </c>
    </row>
    <row r="163" spans="1:19" ht="16" x14ac:dyDescent="0.2">
      <c r="A163" s="3" t="s">
        <v>165</v>
      </c>
      <c r="B163" s="4" t="s">
        <v>24</v>
      </c>
      <c r="C163" s="4" t="s">
        <v>24</v>
      </c>
      <c r="D163" s="4" t="s">
        <v>24</v>
      </c>
      <c r="E163" s="4" t="s">
        <v>24</v>
      </c>
      <c r="F163" s="4" t="s">
        <v>24</v>
      </c>
      <c r="G163" s="4" t="s">
        <v>24</v>
      </c>
      <c r="H163" s="4" t="s">
        <v>24</v>
      </c>
      <c r="I163" s="4" t="s">
        <v>24</v>
      </c>
      <c r="J163" s="4" t="s">
        <v>24</v>
      </c>
      <c r="K163" s="4" t="s">
        <v>24</v>
      </c>
      <c r="L163" s="4" t="s">
        <v>24</v>
      </c>
      <c r="M163" s="4">
        <v>35000000</v>
      </c>
      <c r="N163" s="4">
        <v>660129000</v>
      </c>
      <c r="O163" s="5">
        <v>1378900000</v>
      </c>
      <c r="P163" s="4">
        <v>184123000</v>
      </c>
      <c r="Q163" s="4">
        <v>282973000</v>
      </c>
      <c r="R163" s="4">
        <v>354333000</v>
      </c>
      <c r="S163" s="4">
        <v>557471000</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v>-5010000</v>
      </c>
      <c r="M164" s="4">
        <v>-992956000</v>
      </c>
      <c r="N164" s="4">
        <v>-923430000</v>
      </c>
      <c r="O164" s="5">
        <v>-2136277000</v>
      </c>
      <c r="P164" s="4">
        <v>-513176000</v>
      </c>
      <c r="Q164" s="4">
        <v>-350193000</v>
      </c>
      <c r="R164" s="4">
        <v>-695387000</v>
      </c>
      <c r="S164" s="4">
        <v>-577521000</v>
      </c>
    </row>
    <row r="165" spans="1:19" ht="16" x14ac:dyDescent="0.2">
      <c r="A165" s="3" t="s">
        <v>167</v>
      </c>
      <c r="B165" s="4" t="s">
        <v>24</v>
      </c>
      <c r="C165" s="4" t="s">
        <v>24</v>
      </c>
      <c r="D165" s="4" t="s">
        <v>24</v>
      </c>
      <c r="E165" s="4" t="s">
        <v>24</v>
      </c>
      <c r="F165" s="4" t="s">
        <v>24</v>
      </c>
      <c r="G165" s="4" t="s">
        <v>24</v>
      </c>
      <c r="H165" s="4">
        <v>1050000</v>
      </c>
      <c r="I165" s="4" t="s">
        <v>24</v>
      </c>
      <c r="J165" s="4">
        <v>-15000000</v>
      </c>
      <c r="K165" s="4" t="s">
        <v>24</v>
      </c>
      <c r="L165" s="4">
        <v>-5010000</v>
      </c>
      <c r="M165" s="4">
        <v>-209083000</v>
      </c>
      <c r="N165" s="4">
        <v>-62162000</v>
      </c>
      <c r="O165" s="5">
        <v>-34482000</v>
      </c>
      <c r="P165" s="4" t="s">
        <v>24</v>
      </c>
      <c r="Q165" s="4">
        <v>-34482000</v>
      </c>
      <c r="R165" s="4" t="s">
        <v>24</v>
      </c>
      <c r="S165" s="4" t="s">
        <v>24</v>
      </c>
    </row>
    <row r="166" spans="1:19" ht="16" x14ac:dyDescent="0.2">
      <c r="A166" s="3" t="s">
        <v>168</v>
      </c>
      <c r="B166" s="4" t="s">
        <v>24</v>
      </c>
      <c r="C166" s="4" t="s">
        <v>24</v>
      </c>
      <c r="D166" s="4" t="s">
        <v>24</v>
      </c>
      <c r="E166" s="4" t="s">
        <v>24</v>
      </c>
      <c r="F166" s="4" t="s">
        <v>24</v>
      </c>
      <c r="G166" s="4" t="s">
        <v>24</v>
      </c>
      <c r="H166" s="4">
        <v>1050000</v>
      </c>
      <c r="I166" s="4" t="s">
        <v>24</v>
      </c>
      <c r="J166" s="4" t="s">
        <v>24</v>
      </c>
      <c r="K166" s="4" t="s">
        <v>24</v>
      </c>
      <c r="L166" s="4" t="s">
        <v>24</v>
      </c>
      <c r="M166" s="4">
        <v>26569000</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t="s">
        <v>24</v>
      </c>
      <c r="I167" s="4" t="s">
        <v>24</v>
      </c>
      <c r="J167" s="4">
        <v>-15000000</v>
      </c>
      <c r="K167" s="4" t="s">
        <v>24</v>
      </c>
      <c r="L167" s="4">
        <v>-5010000</v>
      </c>
      <c r="M167" s="4">
        <v>-235652000</v>
      </c>
      <c r="N167" s="4">
        <v>-62162000</v>
      </c>
      <c r="O167" s="5">
        <v>-34482000</v>
      </c>
      <c r="P167" s="4" t="s">
        <v>24</v>
      </c>
      <c r="Q167" s="4">
        <v>-34482000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t="s">
        <v>24</v>
      </c>
      <c r="F169" s="4">
        <v>-2535000</v>
      </c>
      <c r="G169" s="4">
        <v>300000</v>
      </c>
      <c r="H169" s="4" t="s">
        <v>24</v>
      </c>
      <c r="I169" s="4" t="s">
        <v>24</v>
      </c>
      <c r="J169" s="4" t="s">
        <v>24</v>
      </c>
      <c r="K169" s="4" t="s">
        <v>24</v>
      </c>
      <c r="L169" s="4">
        <v>5010000</v>
      </c>
      <c r="M169" s="4" t="s">
        <v>24</v>
      </c>
      <c r="N169" s="4" t="s">
        <v>24</v>
      </c>
      <c r="O169" s="5" t="s">
        <v>24</v>
      </c>
      <c r="P169" s="4" t="s">
        <v>24</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-3262000</v>
      </c>
      <c r="C171" s="4">
        <v>-14662000</v>
      </c>
      <c r="D171" s="4">
        <v>-12990000</v>
      </c>
      <c r="E171" s="4">
        <v>-6257000</v>
      </c>
      <c r="F171" s="4">
        <v>-16534000</v>
      </c>
      <c r="G171" s="4">
        <v>-12462000</v>
      </c>
      <c r="H171" s="4">
        <v>-11795000</v>
      </c>
      <c r="I171" s="4">
        <v>-4121000</v>
      </c>
      <c r="J171" s="4">
        <v>-19151000</v>
      </c>
      <c r="K171" s="4">
        <v>-14788000</v>
      </c>
      <c r="L171" s="4">
        <v>-25568000</v>
      </c>
      <c r="M171" s="4">
        <v>-1219547000</v>
      </c>
      <c r="N171" s="4">
        <v>-371906000</v>
      </c>
      <c r="O171" s="5">
        <v>-883714000</v>
      </c>
      <c r="P171" s="4">
        <v>-338001000</v>
      </c>
      <c r="Q171" s="4">
        <v>-118131000</v>
      </c>
      <c r="R171" s="4">
        <v>-363530000</v>
      </c>
      <c r="S171" s="4">
        <v>-64052000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6757000</v>
      </c>
      <c r="C173" s="4">
        <v>27866000</v>
      </c>
      <c r="D173" s="4">
        <v>-4199000</v>
      </c>
      <c r="E173" s="4">
        <v>-2487000</v>
      </c>
      <c r="F173" s="4">
        <v>-8708000</v>
      </c>
      <c r="G173" s="4">
        <v>17000000</v>
      </c>
      <c r="H173" s="4">
        <v>17089000</v>
      </c>
      <c r="I173" s="4">
        <v>16342000</v>
      </c>
      <c r="J173" s="4">
        <v>58048000</v>
      </c>
      <c r="K173" s="4">
        <v>81558000</v>
      </c>
      <c r="L173" s="4">
        <v>269117000</v>
      </c>
      <c r="M173" s="4">
        <v>896498000</v>
      </c>
      <c r="N173" s="4" t="s">
        <v>24</v>
      </c>
      <c r="O173" s="5" t="s">
        <v>24</v>
      </c>
      <c r="P173" s="4" t="s">
        <v>24</v>
      </c>
      <c r="Q173" s="4" t="s">
        <v>24</v>
      </c>
      <c r="R173" s="4" t="s">
        <v>24</v>
      </c>
      <c r="S173" s="4" t="s">
        <v>24</v>
      </c>
    </row>
    <row r="174" spans="1:19" ht="16" x14ac:dyDescent="0.2">
      <c r="A174" s="3" t="s">
        <v>175</v>
      </c>
      <c r="B174" s="4">
        <v>7000000</v>
      </c>
      <c r="C174" s="4">
        <v>29898000</v>
      </c>
      <c r="D174" s="4">
        <v>10000000</v>
      </c>
      <c r="E174" s="4" t="s">
        <v>24</v>
      </c>
      <c r="F174" s="4" t="s">
        <v>24</v>
      </c>
      <c r="G174" s="4">
        <v>46000000</v>
      </c>
      <c r="H174" s="4">
        <v>33989000</v>
      </c>
      <c r="I174" s="4">
        <v>26442000</v>
      </c>
      <c r="J174" s="4">
        <v>68024000</v>
      </c>
      <c r="K174" s="4">
        <v>127413000</v>
      </c>
      <c r="L174" s="4">
        <v>312420000</v>
      </c>
      <c r="M174" s="4">
        <v>1188439000</v>
      </c>
      <c r="N174" s="4" t="s">
        <v>24</v>
      </c>
      <c r="O174" s="5" t="s">
        <v>24</v>
      </c>
      <c r="P174" s="4" t="s">
        <v>24</v>
      </c>
      <c r="Q174" s="4" t="s">
        <v>24</v>
      </c>
      <c r="R174" s="4" t="s">
        <v>24</v>
      </c>
      <c r="S174" s="4" t="s">
        <v>24</v>
      </c>
    </row>
    <row r="175" spans="1:19" ht="16" x14ac:dyDescent="0.2">
      <c r="A175" s="3" t="s">
        <v>176</v>
      </c>
      <c r="B175" s="4">
        <v>-243000</v>
      </c>
      <c r="C175" s="4">
        <v>-2032000</v>
      </c>
      <c r="D175" s="4">
        <v>-14199000</v>
      </c>
      <c r="E175" s="4">
        <v>-2487000</v>
      </c>
      <c r="F175" s="4">
        <v>-8708000</v>
      </c>
      <c r="G175" s="4">
        <v>-29000000</v>
      </c>
      <c r="H175" s="4">
        <v>-16900000</v>
      </c>
      <c r="I175" s="4">
        <v>-10100000</v>
      </c>
      <c r="J175" s="4">
        <v>-9976000</v>
      </c>
      <c r="K175" s="4">
        <v>-45855000</v>
      </c>
      <c r="L175" s="4">
        <v>-43303000</v>
      </c>
      <c r="M175" s="4">
        <v>-291941000</v>
      </c>
      <c r="N175" s="4" t="s">
        <v>24</v>
      </c>
      <c r="O175" s="5" t="s">
        <v>24</v>
      </c>
      <c r="P175" s="4" t="s">
        <v>24</v>
      </c>
      <c r="Q175" s="4" t="s">
        <v>24</v>
      </c>
      <c r="R175" s="4" t="s">
        <v>24</v>
      </c>
      <c r="S175" s="4" t="s">
        <v>24</v>
      </c>
    </row>
    <row r="176" spans="1:19" ht="16" x14ac:dyDescent="0.2">
      <c r="A176" s="3" t="s">
        <v>177</v>
      </c>
      <c r="B176" s="4" t="s">
        <v>24</v>
      </c>
      <c r="C176" s="4">
        <v>1858000</v>
      </c>
      <c r="D176" s="4">
        <v>58609000</v>
      </c>
      <c r="E176" s="4" t="s">
        <v>24</v>
      </c>
      <c r="F176" s="4" t="s">
        <v>24</v>
      </c>
      <c r="G176" s="4" t="s">
        <v>24</v>
      </c>
      <c r="H176" s="4">
        <v>16142000</v>
      </c>
      <c r="I176" s="4">
        <v>26425000</v>
      </c>
      <c r="J176" s="4">
        <v>19766000</v>
      </c>
      <c r="K176" s="4" t="s">
        <v>24</v>
      </c>
      <c r="L176" s="4" t="s">
        <v>24</v>
      </c>
      <c r="M176" s="4">
        <v>-500000000</v>
      </c>
      <c r="N176" s="4" t="s">
        <v>24</v>
      </c>
      <c r="O176" s="5">
        <v>-200000000</v>
      </c>
      <c r="P176" s="4" t="s">
        <v>24</v>
      </c>
      <c r="Q176" s="4" t="s">
        <v>24</v>
      </c>
      <c r="R176" s="4" t="s">
        <v>24</v>
      </c>
      <c r="S176" s="4">
        <v>-200000000</v>
      </c>
    </row>
    <row r="177" spans="1:19" ht="16" x14ac:dyDescent="0.2">
      <c r="A177" s="3" t="s">
        <v>178</v>
      </c>
      <c r="B177" s="4" t="s">
        <v>24</v>
      </c>
      <c r="C177" s="4">
        <v>1858000</v>
      </c>
      <c r="D177" s="4">
        <v>58609000</v>
      </c>
      <c r="E177" s="4" t="s">
        <v>24</v>
      </c>
      <c r="F177" s="4" t="s">
        <v>24</v>
      </c>
      <c r="G177" s="4" t="s">
        <v>24</v>
      </c>
      <c r="H177" s="4">
        <v>16142000</v>
      </c>
      <c r="I177" s="4">
        <v>26425000</v>
      </c>
      <c r="J177" s="4">
        <v>19766000</v>
      </c>
      <c r="K177" s="4" t="s">
        <v>24</v>
      </c>
      <c r="L177" s="4" t="s">
        <v>24</v>
      </c>
      <c r="M177" s="4" t="s">
        <v>24</v>
      </c>
      <c r="N177" s="4" t="s">
        <v>24</v>
      </c>
      <c r="O177" s="5" t="s">
        <v>24</v>
      </c>
      <c r="P177" s="4" t="s">
        <v>24</v>
      </c>
      <c r="Q177" s="4" t="s">
        <v>24</v>
      </c>
      <c r="R177" s="4" t="s">
        <v>24</v>
      </c>
      <c r="S177" s="4" t="s">
        <v>24</v>
      </c>
    </row>
    <row r="178" spans="1:19" ht="16" x14ac:dyDescent="0.2">
      <c r="A178" s="3" t="s">
        <v>179</v>
      </c>
      <c r="B178" s="4" t="s">
        <v>24</v>
      </c>
      <c r="C178" s="4" t="s">
        <v>24</v>
      </c>
      <c r="D178" s="4" t="s">
        <v>24</v>
      </c>
      <c r="E178" s="4" t="s">
        <v>24</v>
      </c>
      <c r="F178" s="4" t="s">
        <v>24</v>
      </c>
      <c r="G178" s="4" t="s">
        <v>24</v>
      </c>
      <c r="H178" s="4" t="s">
        <v>24</v>
      </c>
      <c r="I178" s="4" t="s">
        <v>24</v>
      </c>
      <c r="J178" s="4" t="s">
        <v>24</v>
      </c>
      <c r="K178" s="4" t="s">
        <v>24</v>
      </c>
      <c r="L178" s="4" t="s">
        <v>24</v>
      </c>
      <c r="M178" s="4">
        <v>-500000000</v>
      </c>
      <c r="N178" s="4" t="s">
        <v>24</v>
      </c>
      <c r="O178" s="5">
        <v>-200000000</v>
      </c>
      <c r="P178" s="4" t="s">
        <v>24</v>
      </c>
      <c r="Q178" s="4" t="s">
        <v>24</v>
      </c>
      <c r="R178" s="4" t="s">
        <v>24</v>
      </c>
      <c r="S178" s="4">
        <v>-200000000</v>
      </c>
    </row>
    <row r="179" spans="1:19" ht="16" x14ac:dyDescent="0.2">
      <c r="A179" s="3" t="s">
        <v>180</v>
      </c>
      <c r="B179" s="4">
        <v>45708000</v>
      </c>
      <c r="C179" s="4">
        <v>-3242000</v>
      </c>
      <c r="D179" s="4">
        <v>-2974000</v>
      </c>
      <c r="E179" s="4">
        <v>2429000</v>
      </c>
      <c r="F179" s="4">
        <v>5366000</v>
      </c>
      <c r="G179" s="4">
        <v>3564000</v>
      </c>
      <c r="H179" s="4">
        <v>1144000</v>
      </c>
      <c r="I179" s="4">
        <v>530000</v>
      </c>
      <c r="J179" s="4">
        <v>2800000</v>
      </c>
      <c r="K179" s="4">
        <v>-15708000</v>
      </c>
      <c r="L179" s="4">
        <v>-77439000</v>
      </c>
      <c r="M179" s="4">
        <v>-87087000</v>
      </c>
      <c r="N179" s="4">
        <v>-17126000</v>
      </c>
      <c r="O179" s="5">
        <v>-90945000</v>
      </c>
      <c r="P179" s="4">
        <v>-3896000</v>
      </c>
      <c r="Q179" s="4">
        <v>-3010000</v>
      </c>
      <c r="R179" s="4">
        <v>-71805000</v>
      </c>
      <c r="S179" s="4">
        <v>-12234000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52465000</v>
      </c>
      <c r="C181" s="4">
        <v>26482000</v>
      </c>
      <c r="D181" s="4">
        <v>51436000</v>
      </c>
      <c r="E181" s="4">
        <v>-58000</v>
      </c>
      <c r="F181" s="4">
        <v>-3342000</v>
      </c>
      <c r="G181" s="4">
        <v>20564000</v>
      </c>
      <c r="H181" s="4">
        <v>34375000</v>
      </c>
      <c r="I181" s="4">
        <v>43297000</v>
      </c>
      <c r="J181" s="4">
        <v>80614000</v>
      </c>
      <c r="K181" s="4">
        <v>65850000</v>
      </c>
      <c r="L181" s="4">
        <v>191678000</v>
      </c>
      <c r="M181" s="4">
        <v>309411000</v>
      </c>
      <c r="N181" s="4">
        <v>-17126000</v>
      </c>
      <c r="O181" s="5">
        <v>-290945000</v>
      </c>
      <c r="P181" s="4">
        <v>-3896000</v>
      </c>
      <c r="Q181" s="4">
        <v>-3010000</v>
      </c>
      <c r="R181" s="4">
        <v>-71805000</v>
      </c>
      <c r="S181" s="4">
        <v>-212234000</v>
      </c>
    </row>
    <row r="182" spans="1:19" ht="16" x14ac:dyDescent="0.2">
      <c r="A182" s="3" t="s">
        <v>182</v>
      </c>
      <c r="B182" s="4" t="s">
        <v>24</v>
      </c>
      <c r="C182" s="4">
        <v>78000</v>
      </c>
      <c r="D182" s="4">
        <v>-31000</v>
      </c>
      <c r="E182" s="4">
        <v>83000</v>
      </c>
      <c r="F182" s="4">
        <v>-504000</v>
      </c>
      <c r="G182" s="4">
        <v>-522000</v>
      </c>
      <c r="H182" s="4">
        <v>-315000</v>
      </c>
      <c r="I182" s="4">
        <v>646000</v>
      </c>
      <c r="J182" s="4">
        <v>-502000</v>
      </c>
      <c r="K182" s="4">
        <v>-257000</v>
      </c>
      <c r="L182" s="4">
        <v>826000</v>
      </c>
      <c r="M182" s="4">
        <v>-1955000</v>
      </c>
      <c r="N182" s="4">
        <v>-1857000</v>
      </c>
      <c r="O182" s="5">
        <v>663000</v>
      </c>
      <c r="P182" s="4">
        <v>-4003000</v>
      </c>
      <c r="Q182" s="4">
        <v>3088000</v>
      </c>
      <c r="R182" s="4">
        <v>1904000</v>
      </c>
      <c r="S182" s="4">
        <v>-326000</v>
      </c>
    </row>
    <row r="183" spans="1:19" ht="16" x14ac:dyDescent="0.2">
      <c r="A183" s="3" t="s">
        <v>183</v>
      </c>
      <c r="B183" s="4">
        <v>31351000</v>
      </c>
      <c r="C183" s="4">
        <v>11453000</v>
      </c>
      <c r="D183" s="4">
        <v>-6199000</v>
      </c>
      <c r="E183" s="4">
        <v>-7187000</v>
      </c>
      <c r="F183" s="4">
        <v>4346000</v>
      </c>
      <c r="G183" s="4">
        <v>-13058000</v>
      </c>
      <c r="H183" s="4">
        <v>-10373000</v>
      </c>
      <c r="I183" s="4">
        <v>10734000</v>
      </c>
      <c r="J183" s="4">
        <v>77595000</v>
      </c>
      <c r="K183" s="4">
        <v>190129000</v>
      </c>
      <c r="L183" s="4">
        <v>382444000</v>
      </c>
      <c r="M183" s="4">
        <v>-558108000</v>
      </c>
      <c r="N183" s="4">
        <v>355785000</v>
      </c>
      <c r="O183" s="5">
        <v>-217460000</v>
      </c>
      <c r="P183" s="4">
        <v>-153887000</v>
      </c>
      <c r="Q183" s="4">
        <v>132573000</v>
      </c>
      <c r="R183" s="4">
        <v>-189103000</v>
      </c>
      <c r="S183" s="4">
        <v>-7043000</v>
      </c>
    </row>
    <row r="184" spans="1:19" ht="16" x14ac:dyDescent="0.2">
      <c r="A184" s="3" t="s">
        <v>54</v>
      </c>
      <c r="B184" s="4">
        <v>-19167000</v>
      </c>
      <c r="C184" s="4">
        <v>-25680000</v>
      </c>
      <c r="D184" s="4">
        <v>-25593000</v>
      </c>
      <c r="E184" s="4">
        <v>-15177000</v>
      </c>
      <c r="F184" s="4">
        <v>3830000</v>
      </c>
      <c r="G184" s="4">
        <v>-8770000</v>
      </c>
      <c r="H184" s="4">
        <v>-48285000</v>
      </c>
      <c r="I184" s="4">
        <v>-13457000</v>
      </c>
      <c r="J184" s="4">
        <v>15392000</v>
      </c>
      <c r="K184" s="4">
        <v>119447000</v>
      </c>
      <c r="L184" s="4">
        <v>203664000</v>
      </c>
      <c r="M184" s="4">
        <v>248271000</v>
      </c>
      <c r="N184" s="4">
        <v>509420000</v>
      </c>
      <c r="O184" s="5">
        <v>696027000</v>
      </c>
      <c r="P184" s="4">
        <v>147996000</v>
      </c>
      <c r="Q184" s="4">
        <v>174759000</v>
      </c>
      <c r="R184" s="4">
        <v>184947000</v>
      </c>
      <c r="S184" s="4">
        <v>188325000</v>
      </c>
    </row>
    <row r="185" spans="1:19" ht="16" x14ac:dyDescent="0.2">
      <c r="A185" s="3" t="s">
        <v>55</v>
      </c>
      <c r="B185" s="6">
        <v>-31.08</v>
      </c>
      <c r="C185" s="6">
        <v>-17.170000000000002</v>
      </c>
      <c r="D185" s="6">
        <v>-11.81</v>
      </c>
      <c r="E185" s="6">
        <v>-6.52</v>
      </c>
      <c r="F185" s="6">
        <v>1.1100000000000001</v>
      </c>
      <c r="G185" s="6">
        <v>-2.4500000000000002</v>
      </c>
      <c r="H185" s="6">
        <v>-14.97</v>
      </c>
      <c r="I185" s="6">
        <v>-4.7</v>
      </c>
      <c r="J185" s="6">
        <v>4.87</v>
      </c>
      <c r="K185" s="6">
        <v>19.13</v>
      </c>
      <c r="L185" s="6">
        <v>26.3</v>
      </c>
      <c r="M185" s="6">
        <v>17.96</v>
      </c>
      <c r="N185" s="6">
        <v>21.86</v>
      </c>
      <c r="O185" s="7">
        <v>24.89</v>
      </c>
      <c r="P185" s="6">
        <v>19.98</v>
      </c>
      <c r="Q185" s="6">
        <v>21.86</v>
      </c>
      <c r="R185" s="6">
        <v>23.59</v>
      </c>
      <c r="S185" s="6">
        <v>24.89</v>
      </c>
    </row>
    <row r="186" spans="1:19" ht="16" x14ac:dyDescent="0.2">
      <c r="A186" s="3" t="s">
        <v>184</v>
      </c>
      <c r="B186" s="4" t="s">
        <v>24</v>
      </c>
      <c r="C186" s="4" t="s">
        <v>24</v>
      </c>
      <c r="D186" s="4" t="s">
        <v>24</v>
      </c>
      <c r="E186" s="4" t="s">
        <v>24</v>
      </c>
      <c r="F186" s="4" t="s">
        <v>24</v>
      </c>
      <c r="G186" s="4" t="s">
        <v>24</v>
      </c>
      <c r="H186" s="4">
        <v>-1050000</v>
      </c>
      <c r="I186" s="4" t="s">
        <v>24</v>
      </c>
      <c r="J186" s="4">
        <v>15000000</v>
      </c>
      <c r="K186" s="4" t="s">
        <v>24</v>
      </c>
      <c r="L186" s="4">
        <v>5010000</v>
      </c>
      <c r="M186" s="4">
        <v>209083000</v>
      </c>
      <c r="N186" s="4">
        <v>62162000</v>
      </c>
      <c r="O186" s="5">
        <v>34482000</v>
      </c>
      <c r="P186" s="4" t="s">
        <v>24</v>
      </c>
      <c r="Q186" s="4">
        <v>34482000</v>
      </c>
      <c r="R186" s="4" t="s">
        <v>24</v>
      </c>
      <c r="S186" s="4" t="s">
        <v>24</v>
      </c>
    </row>
    <row r="187" spans="1:19" ht="16" x14ac:dyDescent="0.2">
      <c r="A187" s="3" t="s">
        <v>185</v>
      </c>
      <c r="B187" s="4">
        <v>-21114000</v>
      </c>
      <c r="C187" s="4">
        <v>-15029000</v>
      </c>
      <c r="D187" s="4">
        <v>-57635000</v>
      </c>
      <c r="E187" s="4">
        <v>-7129000</v>
      </c>
      <c r="F187" s="4">
        <v>10223000</v>
      </c>
      <c r="G187" s="4">
        <v>-33922000</v>
      </c>
      <c r="H187" s="4">
        <v>-45798000</v>
      </c>
      <c r="I187" s="4">
        <v>-32563000</v>
      </c>
      <c r="J187" s="4">
        <v>11981000</v>
      </c>
      <c r="K187" s="4">
        <v>124279000</v>
      </c>
      <c r="L187" s="4">
        <v>195776000</v>
      </c>
      <c r="M187" s="4">
        <v>299520000</v>
      </c>
      <c r="N187" s="4">
        <v>698374000</v>
      </c>
      <c r="O187" s="5">
        <v>865344000</v>
      </c>
      <c r="P187" s="4">
        <v>179062000</v>
      </c>
      <c r="Q187" s="4">
        <v>237285000</v>
      </c>
      <c r="R187" s="4">
        <v>223756000</v>
      </c>
      <c r="S187" s="4">
        <v>225241000</v>
      </c>
    </row>
    <row r="188" spans="1:19" ht="16" x14ac:dyDescent="0.2">
      <c r="A188" s="28" t="s">
        <v>186</v>
      </c>
      <c r="B188" s="26" t="s">
        <v>24</v>
      </c>
      <c r="C188" s="26" t="s">
        <v>24</v>
      </c>
      <c r="D188" s="26">
        <v>-57635000</v>
      </c>
      <c r="E188" s="26">
        <v>-7129000</v>
      </c>
      <c r="F188" s="26">
        <v>10223000</v>
      </c>
      <c r="G188" s="26">
        <v>-33922000</v>
      </c>
      <c r="H188" s="26">
        <v>-45798000</v>
      </c>
      <c r="I188" s="26">
        <v>-32563000</v>
      </c>
      <c r="J188" s="26">
        <v>11981000</v>
      </c>
      <c r="K188" s="26">
        <v>124279000</v>
      </c>
      <c r="L188" s="26">
        <v>195776000</v>
      </c>
      <c r="M188" s="26">
        <v>299520000</v>
      </c>
      <c r="N188" s="26">
        <v>706670249</v>
      </c>
      <c r="O188" s="27">
        <v>873003988</v>
      </c>
      <c r="P188" s="26">
        <v>180990428</v>
      </c>
      <c r="Q188" s="26">
        <v>239368525</v>
      </c>
      <c r="R188" s="26">
        <v>225525307</v>
      </c>
      <c r="S188" s="26">
        <v>227130589</v>
      </c>
    </row>
    <row r="189" spans="1:19" ht="16" x14ac:dyDescent="0.2">
      <c r="A189" s="20" t="s">
        <v>199</v>
      </c>
      <c r="B189" s="21"/>
      <c r="C189" s="22" t="e">
        <f>(C188/B188)-1</f>
        <v>#VALUE!</v>
      </c>
      <c r="D189" s="22" t="e">
        <f>(D188/C188)-1</f>
        <v>#VALUE!</v>
      </c>
      <c r="E189" s="22">
        <f>(E188/D188)-1</f>
        <v>-0.87630779908041989</v>
      </c>
      <c r="F189" s="22">
        <f t="shared" ref="F189:L189" si="8">(F188/E188)-1</f>
        <v>-2.4340019638097909</v>
      </c>
      <c r="G189" s="22">
        <f t="shared" si="8"/>
        <v>-4.3182040496918717</v>
      </c>
      <c r="H189" s="22">
        <f t="shared" si="8"/>
        <v>0.35009728199988199</v>
      </c>
      <c r="I189" s="22">
        <f t="shared" si="8"/>
        <v>-0.28898641862090046</v>
      </c>
      <c r="J189" s="22">
        <f t="shared" si="8"/>
        <v>-1.3679329300125911</v>
      </c>
      <c r="K189" s="22">
        <f t="shared" si="8"/>
        <v>9.3730072614973707</v>
      </c>
      <c r="L189" s="22">
        <f t="shared" si="8"/>
        <v>0.57529429750802619</v>
      </c>
      <c r="M189" s="22">
        <f>(M188/L188)-1</f>
        <v>0.52991173586139251</v>
      </c>
      <c r="N189" s="22">
        <f>(N188/M187)-1</f>
        <v>1.3593424445779916</v>
      </c>
      <c r="O189" s="22">
        <f>(O188/N188)-1</f>
        <v>0.23537673934253878</v>
      </c>
      <c r="P189" s="22"/>
      <c r="Q189" s="22">
        <f>(Q188/P188)-1</f>
        <v>0.32254798027219422</v>
      </c>
      <c r="R189" s="22">
        <f>(R188/Q188)-1</f>
        <v>-5.7832240057459572E-2</v>
      </c>
      <c r="S189" s="22">
        <f>(S188/R188)-1</f>
        <v>7.1179683617501599E-3</v>
      </c>
    </row>
    <row r="190" spans="1:19" ht="16" x14ac:dyDescent="0.2">
      <c r="A190" s="23" t="s">
        <v>200</v>
      </c>
      <c r="B190" s="24" t="e">
        <f t="shared" ref="B190:S190" si="9">B188/B2</f>
        <v>#VALUE!</v>
      </c>
      <c r="C190" s="24" t="e">
        <f t="shared" si="9"/>
        <v>#VALUE!</v>
      </c>
      <c r="D190" s="24">
        <f t="shared" si="9"/>
        <v>-0.26599377878695574</v>
      </c>
      <c r="E190" s="24">
        <f t="shared" si="9"/>
        <v>-3.0616802521838467E-2</v>
      </c>
      <c r="F190" s="24">
        <f t="shared" si="9"/>
        <v>2.9726318972736577E-2</v>
      </c>
      <c r="G190" s="24">
        <f t="shared" si="9"/>
        <v>-9.4953379855506947E-2</v>
      </c>
      <c r="H190" s="24">
        <f t="shared" si="9"/>
        <v>-0.14196924278730652</v>
      </c>
      <c r="I190" s="24">
        <f t="shared" si="9"/>
        <v>-0.1137905970660386</v>
      </c>
      <c r="J190" s="24">
        <f t="shared" si="9"/>
        <v>3.7895489294943366E-2</v>
      </c>
      <c r="K190" s="24">
        <f t="shared" si="9"/>
        <v>0.19905883558934095</v>
      </c>
      <c r="L190" s="24">
        <f t="shared" si="9"/>
        <v>0.25280175614165351</v>
      </c>
      <c r="M190" s="24">
        <f t="shared" si="9"/>
        <v>0.21672169365919733</v>
      </c>
      <c r="N190" s="24">
        <f t="shared" si="9"/>
        <v>0.30318095950280866</v>
      </c>
      <c r="O190" s="25">
        <f t="shared" si="9"/>
        <v>0.31217747190326189</v>
      </c>
      <c r="P190" s="24">
        <f t="shared" si="9"/>
        <v>0.28515317631748521</v>
      </c>
      <c r="Q190" s="24">
        <f t="shared" si="9"/>
        <v>0.33032203733654225</v>
      </c>
      <c r="R190" s="24">
        <f t="shared" si="9"/>
        <v>0.31063407280280325</v>
      </c>
      <c r="S190" s="24">
        <f t="shared" si="9"/>
        <v>0.31939929660056421</v>
      </c>
    </row>
    <row r="191" spans="1:19" ht="16" x14ac:dyDescent="0.2">
      <c r="A191" s="3" t="s">
        <v>187</v>
      </c>
      <c r="B191" s="4">
        <v>31380000</v>
      </c>
      <c r="C191" s="4">
        <v>12837000</v>
      </c>
      <c r="D191" s="4">
        <v>-155430000</v>
      </c>
      <c r="E191" s="4">
        <v>-9616000</v>
      </c>
      <c r="F191" s="4">
        <v>2265000</v>
      </c>
      <c r="G191" s="4">
        <v>-16685000</v>
      </c>
      <c r="H191" s="4">
        <v>-28031000</v>
      </c>
      <c r="I191" s="4">
        <v>-16221000</v>
      </c>
      <c r="J191" s="4">
        <v>70029000</v>
      </c>
      <c r="K191" s="4">
        <v>205837000</v>
      </c>
      <c r="L191" s="4">
        <v>464893000</v>
      </c>
      <c r="M191" s="4">
        <v>1196268000</v>
      </c>
      <c r="N191" s="4">
        <v>698374000</v>
      </c>
      <c r="O191" s="5">
        <v>865344000</v>
      </c>
      <c r="P191" s="4">
        <v>179062000</v>
      </c>
      <c r="Q191" s="4">
        <v>237285000</v>
      </c>
      <c r="R191" s="4">
        <v>223756000</v>
      </c>
      <c r="S191" s="4">
        <v>225241000</v>
      </c>
    </row>
    <row r="192" spans="1:19" ht="16" x14ac:dyDescent="0.2">
      <c r="A192" s="3" t="s">
        <v>188</v>
      </c>
      <c r="B192" s="6">
        <v>-18.68</v>
      </c>
      <c r="C192" s="6">
        <v>-0.38</v>
      </c>
      <c r="D192" s="6">
        <v>-1.87</v>
      </c>
      <c r="E192" s="6">
        <v>-0.17</v>
      </c>
      <c r="F192" s="6">
        <v>0.24</v>
      </c>
      <c r="G192" s="6">
        <v>-0.76</v>
      </c>
      <c r="H192" s="6">
        <v>-0.91</v>
      </c>
      <c r="I192" s="6">
        <v>-0.39</v>
      </c>
      <c r="J192" s="6">
        <v>0.12</v>
      </c>
      <c r="K192" s="6">
        <v>1.06</v>
      </c>
      <c r="L192" s="6">
        <v>1.56</v>
      </c>
      <c r="M192" s="6">
        <v>2.23</v>
      </c>
      <c r="N192" s="6">
        <v>5.16</v>
      </c>
      <c r="O192" s="7">
        <v>6.35</v>
      </c>
      <c r="P192" s="6">
        <v>1.32</v>
      </c>
      <c r="Q192" s="6">
        <v>1.74</v>
      </c>
      <c r="R192" s="6">
        <v>1.64</v>
      </c>
      <c r="S192" s="6">
        <v>1.65</v>
      </c>
    </row>
    <row r="193" spans="1:19" ht="16" x14ac:dyDescent="0.2">
      <c r="A193" s="3" t="s">
        <v>189</v>
      </c>
      <c r="B193" s="4" t="s">
        <v>24</v>
      </c>
      <c r="C193" s="4" t="s">
        <v>24</v>
      </c>
      <c r="D193" s="6">
        <v>-3.54</v>
      </c>
      <c r="E193" s="6">
        <v>49.03</v>
      </c>
      <c r="F193" s="6">
        <v>16.04</v>
      </c>
      <c r="G193" s="6">
        <v>-18.649999999999999</v>
      </c>
      <c r="H193" s="6">
        <v>-2.54</v>
      </c>
      <c r="I193" s="6">
        <v>-8.2200000000000006</v>
      </c>
      <c r="J193" s="6">
        <v>23.23</v>
      </c>
      <c r="K193" s="6">
        <v>22.36</v>
      </c>
      <c r="L193" s="6">
        <v>105.12</v>
      </c>
      <c r="M193" s="6">
        <v>64.61</v>
      </c>
      <c r="N193" s="6">
        <v>48.35</v>
      </c>
      <c r="O193" s="7">
        <v>23.25</v>
      </c>
      <c r="P193" s="6">
        <v>64.599999999999994</v>
      </c>
      <c r="Q193" s="6">
        <v>49.3</v>
      </c>
      <c r="R193" s="6">
        <v>32.619999999999997</v>
      </c>
      <c r="S193" s="6">
        <v>23.45</v>
      </c>
    </row>
    <row r="194" spans="1:19" ht="16" x14ac:dyDescent="0.2">
      <c r="A194" s="3" t="s">
        <v>190</v>
      </c>
      <c r="B194" s="6">
        <v>0.82</v>
      </c>
      <c r="C194" s="6">
        <v>0.01</v>
      </c>
      <c r="D194" s="6">
        <v>1.17</v>
      </c>
      <c r="E194" s="6">
        <v>0.03</v>
      </c>
      <c r="F194" s="6">
        <v>-3.01</v>
      </c>
      <c r="G194" s="6">
        <v>0.96</v>
      </c>
      <c r="H194" s="6">
        <v>0.49</v>
      </c>
      <c r="I194" s="6">
        <v>0.63</v>
      </c>
      <c r="J194" s="6">
        <v>-1.39</v>
      </c>
      <c r="K194" s="6">
        <v>0.86</v>
      </c>
      <c r="L194" s="6">
        <v>1.61</v>
      </c>
      <c r="M194" s="6">
        <v>2.42</v>
      </c>
      <c r="N194" s="6">
        <v>1.87</v>
      </c>
      <c r="O194" s="7">
        <v>1.67</v>
      </c>
      <c r="P194" s="6">
        <v>1.64</v>
      </c>
      <c r="Q194" s="6">
        <v>1.65</v>
      </c>
      <c r="R194" s="6">
        <v>1.68</v>
      </c>
      <c r="S194" s="6">
        <v>1.71</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71 A188:C188 N188:S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FBC51-0500-4C48-A6DB-D3867351791F}">
  <dimension ref="A1:R110"/>
  <sheetViews>
    <sheetView tabSelected="1" workbookViewId="0">
      <selection activeCell="E20" sqref="E20"/>
    </sheetView>
  </sheetViews>
  <sheetFormatPr baseColWidth="10" defaultRowHeight="15" x14ac:dyDescent="0.2"/>
  <cols>
    <col min="1" max="18" width="18.83203125" customWidth="1"/>
  </cols>
  <sheetData>
    <row r="1" spans="1:18" s="118" customFormat="1" ht="22" customHeight="1" x14ac:dyDescent="0.2">
      <c r="A1" s="117" t="e" vm="1">
        <v>#VALUE!</v>
      </c>
      <c r="B1" s="117"/>
      <c r="C1" s="117"/>
      <c r="D1" s="117"/>
      <c r="E1" s="117"/>
      <c r="F1" s="117"/>
      <c r="G1" s="117"/>
      <c r="H1" s="117"/>
      <c r="I1" s="117"/>
      <c r="J1" s="117"/>
      <c r="K1" s="117"/>
      <c r="L1" s="117"/>
      <c r="M1" s="117"/>
      <c r="N1" s="117"/>
      <c r="O1" s="117"/>
      <c r="P1" s="117"/>
    </row>
    <row r="2" spans="1:18" s="118" customFormat="1" ht="22" customHeight="1" thickBot="1" x14ac:dyDescent="0.25">
      <c r="A2" s="117"/>
      <c r="B2" s="117"/>
      <c r="C2" s="117"/>
      <c r="D2" s="117"/>
      <c r="E2" s="117"/>
      <c r="F2" s="117"/>
      <c r="G2" s="117"/>
      <c r="H2" s="117"/>
      <c r="I2" s="117"/>
      <c r="J2" s="117"/>
      <c r="K2" s="117"/>
      <c r="L2" s="117"/>
      <c r="M2" s="117"/>
      <c r="N2" s="117"/>
      <c r="O2" s="117"/>
      <c r="P2" s="117"/>
    </row>
    <row r="3" spans="1:18" ht="22" customHeight="1" x14ac:dyDescent="0.2">
      <c r="A3" s="51" cm="1">
        <f t="array" ref="A3">_FV(A1,"Market cap",TRUE)</f>
        <v>14545433824</v>
      </c>
      <c r="B3" s="52" t="s">
        <v>201</v>
      </c>
      <c r="C3" s="53">
        <f>Financials!O8*0.01</f>
        <v>0.43920000000000003</v>
      </c>
      <c r="D3" s="52" t="s">
        <v>202</v>
      </c>
      <c r="E3" s="53">
        <f>SUM(C11:E11)/3</f>
        <v>0.57051221890399051</v>
      </c>
      <c r="F3" s="54" t="s">
        <v>203</v>
      </c>
      <c r="G3" s="55">
        <f>SUM(Financials!K129:N129)/4</f>
        <v>6.3746186123713855E-2</v>
      </c>
      <c r="H3" s="54" t="s">
        <v>204</v>
      </c>
      <c r="I3" s="56">
        <f>J15*(1+I7)/(I6-I7)</f>
        <v>19589971164.944275</v>
      </c>
      <c r="J3" s="57" t="s">
        <v>205</v>
      </c>
      <c r="K3" s="58">
        <f>(Financials!O172*-1)/Model!A3</f>
        <v>0</v>
      </c>
      <c r="L3" s="59" t="s">
        <v>250</v>
      </c>
      <c r="M3" s="39"/>
      <c r="N3" s="119" t="s">
        <v>206</v>
      </c>
      <c r="O3" s="120"/>
      <c r="P3" s="39"/>
      <c r="Q3" s="39"/>
      <c r="R3" s="39"/>
    </row>
    <row r="4" spans="1:18" ht="22" customHeight="1" x14ac:dyDescent="0.2">
      <c r="A4" s="60">
        <f>Financials!O56-Financials!O96-Financials!O105</f>
        <v>505995000</v>
      </c>
      <c r="B4" s="61" t="s">
        <v>207</v>
      </c>
      <c r="C4" s="41">
        <f>Financials!O17*0.01</f>
        <v>0.2266</v>
      </c>
      <c r="D4" s="61" t="s">
        <v>208</v>
      </c>
      <c r="E4" s="41">
        <f>SUM(C13:E13)/3</f>
        <v>0.5496504752657444</v>
      </c>
      <c r="F4" s="62" t="s">
        <v>209</v>
      </c>
      <c r="G4" s="63">
        <f>A5*(1+(5*G3))</f>
        <v>180074291.05308238</v>
      </c>
      <c r="H4" s="62" t="s">
        <v>210</v>
      </c>
      <c r="I4" s="40">
        <f>NPV(I6,F15,G15,H15,I15,(J15+I3))</f>
        <v>15447261264.674788</v>
      </c>
      <c r="J4" s="62" t="s">
        <v>211</v>
      </c>
      <c r="K4" s="64" cm="1">
        <f t="array" ref="K4">_FV(A1,"Change (%)",TRUE)</f>
        <v>5.4444999999999993E-2</v>
      </c>
      <c r="L4" s="65" t="s">
        <v>251</v>
      </c>
      <c r="M4" s="39"/>
      <c r="N4" s="121" t="s">
        <v>212</v>
      </c>
      <c r="O4" s="122"/>
      <c r="P4" s="39"/>
      <c r="Q4" s="39"/>
      <c r="R4" s="39"/>
    </row>
    <row r="5" spans="1:18" ht="22" customHeight="1" x14ac:dyDescent="0.2">
      <c r="A5" s="60" cm="1">
        <f t="array" ref="A5">_FV(A1,"Shares outstanding",TRUE)</f>
        <v>136551200</v>
      </c>
      <c r="B5" s="61" t="s">
        <v>213</v>
      </c>
      <c r="C5" s="41">
        <f>Financials!O34*0.01</f>
        <v>0.20480000000000001</v>
      </c>
      <c r="D5" s="66" t="s">
        <v>214</v>
      </c>
      <c r="E5" s="41">
        <f>SUM(C16:E16)/3</f>
        <v>0.82151615931580346</v>
      </c>
      <c r="F5" s="62" t="s">
        <v>215</v>
      </c>
      <c r="G5" s="63">
        <f>Financials!O56</f>
        <v>1800492000</v>
      </c>
      <c r="H5" s="62" t="s">
        <v>216</v>
      </c>
      <c r="I5" s="40">
        <f>I4+G5-G6</f>
        <v>15953256264.674789</v>
      </c>
      <c r="J5" s="62" t="s">
        <v>217</v>
      </c>
      <c r="K5" s="67" cm="1">
        <f t="array" ref="K5">_FV(A1,"Price")</f>
        <v>106.52</v>
      </c>
      <c r="L5" s="68" t="s">
        <v>218</v>
      </c>
      <c r="M5" s="39"/>
      <c r="N5" s="102" t="s">
        <v>219</v>
      </c>
      <c r="O5" s="103">
        <f>Financials!O21</f>
        <v>8909000</v>
      </c>
      <c r="P5" s="39"/>
      <c r="Q5" s="39"/>
      <c r="R5" s="39"/>
    </row>
    <row r="6" spans="1:18" ht="22" customHeight="1" x14ac:dyDescent="0.2">
      <c r="A6" s="69">
        <f>O20/F10</f>
        <v>6.2912776055363322</v>
      </c>
      <c r="B6" s="61" t="s">
        <v>220</v>
      </c>
      <c r="C6" s="41">
        <f>Financials!O190</f>
        <v>0.31217747190326189</v>
      </c>
      <c r="D6" s="66" t="s">
        <v>200</v>
      </c>
      <c r="E6" s="41">
        <f>Financials!O33/Financials!O126</f>
        <v>0.58876892247171719</v>
      </c>
      <c r="F6" s="61" t="s">
        <v>221</v>
      </c>
      <c r="G6" s="63">
        <f>Financials!O96+Financials!O105</f>
        <v>1294497000</v>
      </c>
      <c r="H6" s="62" t="s">
        <v>222</v>
      </c>
      <c r="I6" s="64">
        <f>N25</f>
        <v>0.1005539652170902</v>
      </c>
      <c r="J6" s="62" t="s">
        <v>223</v>
      </c>
      <c r="K6" s="42">
        <f>I5/G4</f>
        <v>88.592636802174511</v>
      </c>
      <c r="L6" s="70" t="s">
        <v>224</v>
      </c>
      <c r="M6" s="39"/>
      <c r="N6" s="102" t="s">
        <v>225</v>
      </c>
      <c r="O6" s="103">
        <f>Financials!O96</f>
        <v>93383000</v>
      </c>
      <c r="P6" s="39"/>
      <c r="Q6" s="39"/>
      <c r="R6" s="39"/>
    </row>
    <row r="7" spans="1:18" ht="22" customHeight="1" thickBot="1" x14ac:dyDescent="0.25">
      <c r="A7" s="71">
        <f>O20/F12</f>
        <v>23.347405817014447</v>
      </c>
      <c r="B7" s="72" t="s">
        <v>226</v>
      </c>
      <c r="C7" s="73">
        <f>F15/O21</f>
        <v>3.8131479658032631E-2</v>
      </c>
      <c r="D7" s="72" t="s">
        <v>227</v>
      </c>
      <c r="E7" s="74">
        <f>(Financials!O16*(1-0.25))/(Financials!O126+Financials!O105+Financials!O96)</f>
        <v>0.20962103742075724</v>
      </c>
      <c r="F7" s="72" t="s">
        <v>196</v>
      </c>
      <c r="G7" s="75">
        <f>(Financials!O96+Financials!O105)/Financials!O126</f>
        <v>1.3309832436584079</v>
      </c>
      <c r="H7" s="76" t="s">
        <v>228</v>
      </c>
      <c r="I7" s="77">
        <v>2.5000000000000001E-2</v>
      </c>
      <c r="J7" s="78" t="s">
        <v>229</v>
      </c>
      <c r="K7" s="79">
        <f>K6/K5-1</f>
        <v>-0.16830044308886116</v>
      </c>
      <c r="L7" s="80" t="s">
        <v>230</v>
      </c>
      <c r="M7" s="39"/>
      <c r="N7" s="102" t="s">
        <v>231</v>
      </c>
      <c r="O7" s="103">
        <f>Financials!O105</f>
        <v>1201114000</v>
      </c>
      <c r="P7" s="39"/>
      <c r="Q7" s="39"/>
      <c r="R7" s="39"/>
    </row>
    <row r="8" spans="1:18" ht="22" customHeight="1" x14ac:dyDescent="0.2">
      <c r="A8" s="81"/>
      <c r="B8" s="39"/>
      <c r="C8" s="39"/>
      <c r="D8" s="39"/>
      <c r="E8" s="39"/>
      <c r="F8" s="39"/>
      <c r="G8" s="39"/>
      <c r="H8" s="39"/>
      <c r="I8" s="39"/>
      <c r="J8" s="43"/>
      <c r="K8" s="43"/>
      <c r="L8" s="43"/>
      <c r="M8" s="39"/>
      <c r="N8" s="104" t="s">
        <v>212</v>
      </c>
      <c r="O8" s="105">
        <f>O5/(O6+O7)</f>
        <v>6.8822098467590112E-3</v>
      </c>
      <c r="P8" s="39"/>
      <c r="Q8" s="39"/>
      <c r="R8" s="39"/>
    </row>
    <row r="9" spans="1:18" ht="22" customHeight="1" x14ac:dyDescent="0.2">
      <c r="A9" s="82"/>
      <c r="B9" s="83">
        <v>2019</v>
      </c>
      <c r="C9" s="83">
        <v>2020</v>
      </c>
      <c r="D9" s="83">
        <v>2021</v>
      </c>
      <c r="E9" s="84">
        <v>2022</v>
      </c>
      <c r="F9" s="85">
        <v>2023</v>
      </c>
      <c r="G9" s="86">
        <v>2024</v>
      </c>
      <c r="H9" s="86">
        <v>2025</v>
      </c>
      <c r="I9" s="86">
        <v>2026</v>
      </c>
      <c r="J9" s="87">
        <v>2027</v>
      </c>
      <c r="K9" s="43"/>
      <c r="L9" s="43"/>
      <c r="M9" s="43"/>
      <c r="N9" s="102" t="s">
        <v>232</v>
      </c>
      <c r="O9" s="103">
        <f>Financials!O25</f>
        <v>93371000</v>
      </c>
      <c r="P9" s="39"/>
      <c r="Q9" s="39"/>
      <c r="R9" s="39"/>
    </row>
    <row r="10" spans="1:18" ht="22" customHeight="1" x14ac:dyDescent="0.2">
      <c r="A10" s="88" t="s">
        <v>233</v>
      </c>
      <c r="B10" s="89">
        <v>624333000</v>
      </c>
      <c r="C10" s="89">
        <v>774425000</v>
      </c>
      <c r="D10" s="89">
        <v>1382049000</v>
      </c>
      <c r="E10" s="90">
        <v>2330853000</v>
      </c>
      <c r="F10" s="89">
        <v>2312000000</v>
      </c>
      <c r="G10" s="89">
        <v>2026000000</v>
      </c>
      <c r="H10" s="89">
        <v>2988000000</v>
      </c>
      <c r="I10" s="89">
        <v>3484000000</v>
      </c>
      <c r="J10" s="90">
        <v>4166000000</v>
      </c>
      <c r="K10" s="91" t="s">
        <v>234</v>
      </c>
      <c r="L10" s="43"/>
      <c r="N10" s="102" t="s">
        <v>235</v>
      </c>
      <c r="O10" s="103">
        <f>Financials!O24</f>
        <v>666000000</v>
      </c>
      <c r="P10" s="39"/>
      <c r="Q10" s="39"/>
      <c r="R10" s="39"/>
    </row>
    <row r="11" spans="1:18" ht="22" customHeight="1" x14ac:dyDescent="0.2">
      <c r="A11" s="92"/>
      <c r="B11" s="44"/>
      <c r="C11" s="44">
        <f t="shared" ref="C11:J11" si="0">(C10/B10)-1</f>
        <v>0.24040375889148891</v>
      </c>
      <c r="D11" s="44">
        <f t="shared" si="0"/>
        <v>0.78461310004196672</v>
      </c>
      <c r="E11" s="44">
        <f t="shared" si="0"/>
        <v>0.68651979777851579</v>
      </c>
      <c r="F11" s="45">
        <f t="shared" si="0"/>
        <v>-8.0884551707035568E-3</v>
      </c>
      <c r="G11" s="44">
        <f t="shared" si="0"/>
        <v>-0.12370242214532867</v>
      </c>
      <c r="H11" s="44">
        <f t="shared" si="0"/>
        <v>0.47482724580454105</v>
      </c>
      <c r="I11" s="44">
        <f t="shared" si="0"/>
        <v>0.16599732262382871</v>
      </c>
      <c r="J11" s="93">
        <f t="shared" si="0"/>
        <v>0.19575200918484503</v>
      </c>
      <c r="K11" s="93">
        <f>SUM(F11:J11)/5</f>
        <v>0.14095714005943652</v>
      </c>
      <c r="L11" s="43"/>
      <c r="M11" s="43"/>
      <c r="N11" s="102" t="s">
        <v>236</v>
      </c>
      <c r="O11" s="106">
        <f>O9/O10</f>
        <v>0.14019669669669671</v>
      </c>
      <c r="P11" s="39"/>
      <c r="Q11" s="39"/>
      <c r="R11" s="39"/>
    </row>
    <row r="12" spans="1:18" ht="22" customHeight="1" x14ac:dyDescent="0.2">
      <c r="A12" s="88" t="s">
        <v>142</v>
      </c>
      <c r="B12" s="89">
        <v>161148000</v>
      </c>
      <c r="C12" s="89">
        <v>133995000</v>
      </c>
      <c r="D12" s="89">
        <v>145449000</v>
      </c>
      <c r="E12" s="89">
        <v>397362000</v>
      </c>
      <c r="F12" s="94">
        <v>623000000</v>
      </c>
      <c r="G12" s="89">
        <v>588000000</v>
      </c>
      <c r="H12" s="89">
        <v>898000000</v>
      </c>
      <c r="I12" s="89">
        <v>976000000</v>
      </c>
      <c r="J12" s="90">
        <v>1061000000</v>
      </c>
      <c r="K12" s="95" t="s">
        <v>237</v>
      </c>
      <c r="L12" s="43"/>
      <c r="M12" s="43"/>
      <c r="N12" s="102" t="s">
        <v>238</v>
      </c>
      <c r="O12" s="106">
        <f>O8*(1-O11)</f>
        <v>5.9173467602699186E-3</v>
      </c>
      <c r="P12" s="39"/>
      <c r="Q12" s="39"/>
      <c r="R12" s="39"/>
    </row>
    <row r="13" spans="1:18" ht="22" customHeight="1" x14ac:dyDescent="0.2">
      <c r="A13" s="92"/>
      <c r="B13" s="44"/>
      <c r="C13" s="44">
        <f t="shared" ref="C13:J13" si="1">(C12/B12)-1</f>
        <v>-0.16849728200163827</v>
      </c>
      <c r="D13" s="44">
        <f t="shared" si="1"/>
        <v>8.548080152244486E-2</v>
      </c>
      <c r="E13" s="44">
        <f t="shared" si="1"/>
        <v>1.7319679062764268</v>
      </c>
      <c r="F13" s="45">
        <f t="shared" si="1"/>
        <v>0.5678399041679878</v>
      </c>
      <c r="G13" s="44">
        <f t="shared" si="1"/>
        <v>-5.6179775280898903E-2</v>
      </c>
      <c r="H13" s="44">
        <f t="shared" si="1"/>
        <v>0.52721088435374153</v>
      </c>
      <c r="I13" s="44">
        <f t="shared" si="1"/>
        <v>8.6859688195991103E-2</v>
      </c>
      <c r="J13" s="93">
        <f t="shared" si="1"/>
        <v>8.7090163934426146E-2</v>
      </c>
      <c r="K13" s="93">
        <f>SUM(F13:J13)/5</f>
        <v>0.24256417307424954</v>
      </c>
      <c r="L13" s="43"/>
      <c r="M13" s="43"/>
      <c r="N13" s="121" t="s">
        <v>239</v>
      </c>
      <c r="O13" s="122"/>
      <c r="P13" s="39"/>
      <c r="Q13" s="39"/>
      <c r="R13" s="39"/>
    </row>
    <row r="14" spans="1:18" ht="22" customHeight="1" x14ac:dyDescent="0.2">
      <c r="A14" s="47" t="s">
        <v>249</v>
      </c>
      <c r="B14" s="48">
        <f>B12/B10</f>
        <v>0.25811225740109844</v>
      </c>
      <c r="C14" s="48">
        <f t="shared" ref="C14:J14" si="2">C12/C10</f>
        <v>0.17302514769022179</v>
      </c>
      <c r="D14" s="48">
        <f t="shared" si="2"/>
        <v>0.10524156524117452</v>
      </c>
      <c r="E14" s="48">
        <f t="shared" si="2"/>
        <v>0.17047921941023308</v>
      </c>
      <c r="F14" s="49">
        <f t="shared" si="2"/>
        <v>0.2694636678200692</v>
      </c>
      <c r="G14" s="48">
        <f t="shared" si="2"/>
        <v>0.29022704837117475</v>
      </c>
      <c r="H14" s="48">
        <f t="shared" si="2"/>
        <v>0.30053547523427043</v>
      </c>
      <c r="I14" s="48">
        <f t="shared" si="2"/>
        <v>0.28013777267508611</v>
      </c>
      <c r="J14" s="50">
        <f t="shared" si="2"/>
        <v>0.25468074891982717</v>
      </c>
      <c r="K14" s="50"/>
      <c r="L14" s="43"/>
      <c r="M14" s="43"/>
      <c r="N14" s="102" t="s">
        <v>241</v>
      </c>
      <c r="O14" s="106">
        <f>'[1]US Treasury Bonds'!$C$8</f>
        <v>4.2709999999999998E-2</v>
      </c>
      <c r="P14" s="39"/>
      <c r="Q14" s="39"/>
      <c r="R14" s="39"/>
    </row>
    <row r="15" spans="1:18" ht="22" customHeight="1" x14ac:dyDescent="0.2">
      <c r="A15" s="88" t="s">
        <v>185</v>
      </c>
      <c r="B15" s="89">
        <v>124279000</v>
      </c>
      <c r="C15" s="89">
        <v>195776000</v>
      </c>
      <c r="D15" s="89">
        <v>299520000</v>
      </c>
      <c r="E15" s="89">
        <v>706670249</v>
      </c>
      <c r="F15" s="94">
        <v>604000000</v>
      </c>
      <c r="G15" s="89">
        <v>620000000</v>
      </c>
      <c r="H15" s="89">
        <v>842000000</v>
      </c>
      <c r="I15" s="89">
        <v>1067000000</v>
      </c>
      <c r="J15" s="90">
        <v>1444000000</v>
      </c>
      <c r="K15" s="95" t="s">
        <v>240</v>
      </c>
      <c r="L15" s="43"/>
      <c r="M15" s="43"/>
      <c r="N15" s="102" t="s">
        <v>242</v>
      </c>
      <c r="O15" s="107" cm="1">
        <f t="array" ref="O15">_FV(A1,"Beta")</f>
        <v>1.6049</v>
      </c>
      <c r="P15" s="39"/>
      <c r="Q15" s="39"/>
      <c r="R15" s="39"/>
    </row>
    <row r="16" spans="1:18" ht="22" customHeight="1" x14ac:dyDescent="0.2">
      <c r="A16" s="96"/>
      <c r="B16" s="44"/>
      <c r="C16" s="44">
        <f t="shared" ref="C16:J16" si="3">(C15/B15)-1</f>
        <v>0.57529429750802619</v>
      </c>
      <c r="D16" s="44">
        <f t="shared" si="3"/>
        <v>0.52991173586139251</v>
      </c>
      <c r="E16" s="44">
        <f t="shared" si="3"/>
        <v>1.3593424445779916</v>
      </c>
      <c r="F16" s="45">
        <f t="shared" si="3"/>
        <v>-0.14528735169661855</v>
      </c>
      <c r="G16" s="44">
        <f t="shared" si="3"/>
        <v>2.6490066225165476E-2</v>
      </c>
      <c r="H16" s="44">
        <f t="shared" si="3"/>
        <v>0.35806451612903234</v>
      </c>
      <c r="I16" s="44">
        <f t="shared" si="3"/>
        <v>0.26722090261282649</v>
      </c>
      <c r="J16" s="93">
        <f t="shared" si="3"/>
        <v>0.35332708528584811</v>
      </c>
      <c r="K16" s="93">
        <f>SUM(F16:J16)/5</f>
        <v>0.17196304371125076</v>
      </c>
      <c r="L16" s="43"/>
      <c r="M16" s="43"/>
      <c r="N16" s="102" t="s">
        <v>243</v>
      </c>
      <c r="O16" s="106">
        <v>8.4000000000000005E-2</v>
      </c>
      <c r="P16" s="39"/>
      <c r="Q16" s="39"/>
      <c r="R16" s="39"/>
    </row>
    <row r="17" spans="1:18" ht="22" customHeight="1" x14ac:dyDescent="0.2">
      <c r="A17" s="47" t="s">
        <v>200</v>
      </c>
      <c r="B17" s="48">
        <f>B15/B10</f>
        <v>0.19905883558934095</v>
      </c>
      <c r="C17" s="48">
        <f t="shared" ref="C17:J17" si="4">C15/C10</f>
        <v>0.25280175614165351</v>
      </c>
      <c r="D17" s="48">
        <f t="shared" si="4"/>
        <v>0.21672169365919733</v>
      </c>
      <c r="E17" s="50">
        <f t="shared" si="4"/>
        <v>0.30318095950280866</v>
      </c>
      <c r="F17" s="48">
        <f t="shared" si="4"/>
        <v>0.26124567474048443</v>
      </c>
      <c r="G17" s="48">
        <f t="shared" si="4"/>
        <v>0.3060217176702863</v>
      </c>
      <c r="H17" s="48">
        <f t="shared" si="4"/>
        <v>0.2817938420348059</v>
      </c>
      <c r="I17" s="48">
        <f t="shared" si="4"/>
        <v>0.30625717566016075</v>
      </c>
      <c r="J17" s="50">
        <f t="shared" si="4"/>
        <v>0.34661545847335573</v>
      </c>
      <c r="K17" s="50"/>
      <c r="L17" s="43"/>
      <c r="M17" s="43"/>
      <c r="N17" s="108" t="s">
        <v>239</v>
      </c>
      <c r="O17" s="109">
        <f>(O14)+((O15)*(O16-O14))</f>
        <v>0.10897632100000001</v>
      </c>
      <c r="P17" s="39"/>
      <c r="Q17" s="39"/>
      <c r="R17" s="39"/>
    </row>
    <row r="18" spans="1:18" ht="22" customHeight="1" x14ac:dyDescent="0.2">
      <c r="A18" s="97" t="s">
        <v>196</v>
      </c>
      <c r="B18" s="98">
        <v>0.20911966750936453</v>
      </c>
      <c r="C18" s="98">
        <v>0.17159953022489807</v>
      </c>
      <c r="D18" s="98">
        <v>0.11028236547682473</v>
      </c>
      <c r="E18" s="98">
        <v>0.15973295430378132</v>
      </c>
      <c r="F18" s="99"/>
      <c r="G18" s="98"/>
      <c r="H18" s="98"/>
      <c r="I18" s="98"/>
      <c r="J18" s="100"/>
      <c r="K18" s="101"/>
      <c r="L18" s="43"/>
      <c r="M18" s="43"/>
      <c r="N18" s="121" t="s">
        <v>244</v>
      </c>
      <c r="O18" s="122"/>
      <c r="P18" s="39"/>
      <c r="Q18" s="39"/>
      <c r="R18" s="39"/>
    </row>
    <row r="19" spans="1:18" ht="22" customHeight="1" x14ac:dyDescent="0.2">
      <c r="A19" s="43"/>
      <c r="B19" s="43"/>
      <c r="C19" s="43"/>
      <c r="D19" s="43"/>
      <c r="E19" s="43"/>
      <c r="F19" s="43"/>
      <c r="G19" s="43"/>
      <c r="H19" s="43"/>
      <c r="I19" s="43"/>
      <c r="J19" s="43"/>
      <c r="K19" s="43"/>
      <c r="L19" s="43"/>
      <c r="M19" s="43"/>
      <c r="N19" s="102" t="s">
        <v>222</v>
      </c>
      <c r="O19" s="110">
        <f>O6+O7</f>
        <v>1294497000</v>
      </c>
      <c r="P19" s="39"/>
      <c r="Q19" s="39"/>
      <c r="R19" s="39"/>
    </row>
    <row r="20" spans="1:18" ht="22" customHeight="1" x14ac:dyDescent="0.2">
      <c r="A20" s="43"/>
      <c r="B20" s="43"/>
      <c r="C20" s="43"/>
      <c r="D20" s="43"/>
      <c r="E20" s="43"/>
      <c r="F20" s="43"/>
      <c r="G20" s="43"/>
      <c r="H20" s="43"/>
      <c r="I20" s="43"/>
      <c r="J20" s="43"/>
      <c r="K20" s="43"/>
      <c r="L20" s="43"/>
      <c r="M20" s="43"/>
      <c r="N20" s="102" t="s">
        <v>201</v>
      </c>
      <c r="O20" s="110" cm="1">
        <f t="array" ref="O20">_FV(A1,"Market cap",TRUE)</f>
        <v>14545433824</v>
      </c>
      <c r="P20" s="39"/>
      <c r="Q20" s="39"/>
      <c r="R20" s="39"/>
    </row>
    <row r="21" spans="1:18" ht="22" customHeight="1" x14ac:dyDescent="0.2">
      <c r="A21" s="123" t="str" cm="1">
        <f t="array" ref="A21">_FV(A1,"Industry")</f>
        <v>Renewable Energy</v>
      </c>
      <c r="B21" s="123"/>
      <c r="C21" s="124" cm="1">
        <f t="array" ref="C21">_FV(A1,"Year incorporated",TRUE)</f>
        <v>2006</v>
      </c>
      <c r="D21" s="124"/>
      <c r="E21" s="46"/>
      <c r="F21" s="43"/>
      <c r="G21" s="43"/>
      <c r="H21" s="43"/>
      <c r="I21" s="43"/>
      <c r="J21" s="43"/>
      <c r="K21" s="43"/>
      <c r="M21" s="43"/>
      <c r="N21" s="102" t="s">
        <v>245</v>
      </c>
      <c r="O21" s="110">
        <f>O19+O20</f>
        <v>15839930824</v>
      </c>
      <c r="P21" s="39"/>
      <c r="Q21" s="39"/>
      <c r="R21" s="39"/>
    </row>
    <row r="22" spans="1:18" ht="22" customHeight="1" x14ac:dyDescent="0.2">
      <c r="A22" s="123" t="str" cm="1">
        <f t="array" ref="A22">_FV(A1,"Description")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B22" s="123"/>
      <c r="C22" s="123"/>
      <c r="D22" s="123"/>
      <c r="E22" s="123"/>
      <c r="F22" s="43"/>
      <c r="G22" s="43"/>
      <c r="H22" s="43"/>
      <c r="I22" s="43"/>
      <c r="J22" s="43"/>
      <c r="K22" s="43"/>
      <c r="L22" s="43"/>
      <c r="M22" s="43"/>
      <c r="N22" s="104" t="s">
        <v>246</v>
      </c>
      <c r="O22" s="111">
        <f>(O19/O21)</f>
        <v>8.1723652355768645E-2</v>
      </c>
      <c r="P22" s="39"/>
      <c r="Q22" s="39"/>
      <c r="R22" s="39"/>
    </row>
    <row r="23" spans="1:18" ht="22" customHeight="1" x14ac:dyDescent="0.2">
      <c r="A23" s="123"/>
      <c r="B23" s="123"/>
      <c r="C23" s="123"/>
      <c r="D23" s="123"/>
      <c r="E23" s="123"/>
      <c r="F23" s="43"/>
      <c r="G23" s="43"/>
      <c r="H23" s="43"/>
      <c r="I23" s="43"/>
      <c r="J23" s="43"/>
      <c r="K23" s="43"/>
      <c r="L23" s="43"/>
      <c r="M23" s="43"/>
      <c r="N23" s="108" t="s">
        <v>247</v>
      </c>
      <c r="O23" s="112">
        <f>O20/O21</f>
        <v>0.91827634764423138</v>
      </c>
      <c r="P23" s="39"/>
      <c r="Q23" s="39"/>
      <c r="R23" s="39"/>
    </row>
    <row r="24" spans="1:18" ht="22" customHeight="1" x14ac:dyDescent="0.2">
      <c r="A24" s="123"/>
      <c r="B24" s="123"/>
      <c r="C24" s="123"/>
      <c r="D24" s="123"/>
      <c r="E24" s="123"/>
      <c r="F24" s="43"/>
      <c r="G24" s="43"/>
      <c r="H24" s="43"/>
      <c r="I24" s="43"/>
      <c r="J24" s="43"/>
      <c r="K24" s="43"/>
      <c r="L24" s="43"/>
      <c r="M24" s="43"/>
      <c r="N24" s="113" t="s">
        <v>248</v>
      </c>
      <c r="O24" s="114"/>
      <c r="P24" s="39"/>
      <c r="Q24" s="39"/>
      <c r="R24" s="39"/>
    </row>
    <row r="25" spans="1:18" ht="22" customHeight="1" x14ac:dyDescent="0.2">
      <c r="A25" s="123"/>
      <c r="B25" s="123"/>
      <c r="C25" s="123"/>
      <c r="D25" s="123"/>
      <c r="E25" s="123"/>
      <c r="F25" s="43"/>
      <c r="G25" s="43"/>
      <c r="H25" s="43"/>
      <c r="I25" s="43"/>
      <c r="J25" s="43"/>
      <c r="K25" s="43"/>
      <c r="L25" s="43"/>
      <c r="M25" s="43"/>
      <c r="N25" s="115">
        <f>(O22*O12)+(O23*O17)</f>
        <v>0.1005539652170902</v>
      </c>
      <c r="O25" s="116"/>
      <c r="P25" s="39"/>
      <c r="Q25" s="39"/>
      <c r="R25" s="39"/>
    </row>
    <row r="26" spans="1:18" ht="22" customHeight="1" x14ac:dyDescent="0.2">
      <c r="A26" s="123"/>
      <c r="B26" s="123"/>
      <c r="C26" s="123"/>
      <c r="D26" s="123"/>
      <c r="E26" s="123"/>
      <c r="F26" s="43"/>
      <c r="G26" s="43"/>
      <c r="H26" s="43"/>
      <c r="I26" s="43"/>
      <c r="J26" s="43"/>
      <c r="K26" s="43"/>
      <c r="L26" s="43"/>
      <c r="M26" s="43"/>
      <c r="N26" s="43"/>
      <c r="O26" s="39"/>
      <c r="P26" s="39"/>
      <c r="Q26" s="39"/>
      <c r="R26" s="39"/>
    </row>
    <row r="27" spans="1:18" ht="22" customHeight="1" x14ac:dyDescent="0.2">
      <c r="A27" s="123"/>
      <c r="B27" s="123"/>
      <c r="C27" s="123"/>
      <c r="D27" s="123"/>
      <c r="E27" s="123"/>
      <c r="F27" s="43"/>
      <c r="G27" s="43"/>
      <c r="H27" s="43"/>
      <c r="I27" s="43"/>
      <c r="J27" s="43"/>
      <c r="K27" s="43"/>
      <c r="L27" s="43"/>
      <c r="M27" s="43"/>
      <c r="N27" s="43"/>
      <c r="O27" s="39"/>
      <c r="P27" s="39"/>
      <c r="Q27" s="39"/>
      <c r="R27" s="39"/>
    </row>
    <row r="28" spans="1:18" ht="22" customHeight="1" x14ac:dyDescent="0.2">
      <c r="A28" s="123"/>
      <c r="B28" s="123"/>
      <c r="C28" s="123"/>
      <c r="D28" s="123"/>
      <c r="E28" s="123"/>
      <c r="F28" s="43"/>
      <c r="G28" s="43"/>
      <c r="H28" s="43"/>
      <c r="I28" s="43"/>
      <c r="J28" s="43"/>
      <c r="K28" s="43"/>
      <c r="L28" s="43"/>
      <c r="M28" s="43"/>
      <c r="N28" s="43"/>
      <c r="O28" s="39"/>
      <c r="P28" s="39"/>
      <c r="Q28" s="39"/>
      <c r="R28" s="39"/>
    </row>
    <row r="29" spans="1:18" ht="22" customHeight="1" x14ac:dyDescent="0.2">
      <c r="A29" s="123"/>
      <c r="B29" s="123"/>
      <c r="C29" s="123"/>
      <c r="D29" s="123"/>
      <c r="E29" s="123"/>
      <c r="F29" s="43"/>
      <c r="G29" s="43"/>
      <c r="H29" s="43"/>
      <c r="I29" s="43"/>
      <c r="J29" s="43"/>
      <c r="K29" s="43"/>
      <c r="L29" s="43"/>
      <c r="M29" s="43"/>
      <c r="N29" s="43"/>
      <c r="O29" s="39"/>
      <c r="P29" s="39"/>
      <c r="Q29" s="39"/>
      <c r="R29" s="39"/>
    </row>
    <row r="30" spans="1:18" ht="22" customHeight="1" x14ac:dyDescent="0.2">
      <c r="A30" s="123"/>
      <c r="B30" s="123"/>
      <c r="C30" s="123"/>
      <c r="D30" s="123"/>
      <c r="E30" s="123"/>
      <c r="F30" s="43"/>
      <c r="G30" s="43"/>
      <c r="H30" s="43"/>
      <c r="I30" s="43"/>
      <c r="J30" s="43"/>
      <c r="K30" s="43"/>
      <c r="L30" s="43"/>
      <c r="M30" s="43"/>
      <c r="N30" s="43"/>
      <c r="O30" s="39"/>
      <c r="P30" s="39"/>
      <c r="Q30" s="39"/>
      <c r="R30" s="39"/>
    </row>
    <row r="31" spans="1:18" x14ac:dyDescent="0.2">
      <c r="A31" s="39"/>
      <c r="B31" s="39"/>
      <c r="C31" s="39"/>
      <c r="D31" s="39"/>
      <c r="E31" s="39"/>
      <c r="F31" s="39"/>
      <c r="G31" s="39"/>
      <c r="H31" s="39"/>
      <c r="I31" s="39"/>
      <c r="J31" s="39"/>
      <c r="K31" s="39"/>
      <c r="L31" s="39"/>
      <c r="M31" s="39"/>
      <c r="N31" s="39"/>
      <c r="O31" s="39"/>
      <c r="P31" s="39"/>
      <c r="Q31" s="39"/>
      <c r="R31" s="39"/>
    </row>
    <row r="32" spans="1:18" x14ac:dyDescent="0.2">
      <c r="A32" s="39"/>
      <c r="B32" s="39"/>
      <c r="C32" s="39"/>
      <c r="D32" s="39"/>
      <c r="E32" s="39"/>
      <c r="F32" s="39"/>
      <c r="G32" s="39"/>
      <c r="H32" s="39"/>
      <c r="I32" s="39"/>
      <c r="J32" s="39"/>
      <c r="K32" s="39"/>
      <c r="L32" s="39"/>
      <c r="M32" s="39"/>
      <c r="N32" s="39"/>
      <c r="O32" s="39"/>
      <c r="P32" s="39"/>
      <c r="Q32" s="39"/>
      <c r="R32" s="39"/>
    </row>
    <row r="33" spans="1:18" x14ac:dyDescent="0.2">
      <c r="A33" s="43"/>
      <c r="B33" s="43"/>
      <c r="C33" s="43"/>
      <c r="D33" s="43"/>
      <c r="E33" s="43"/>
      <c r="F33" s="43"/>
      <c r="G33" s="43"/>
      <c r="H33" s="43"/>
      <c r="I33" s="43"/>
      <c r="J33" s="43"/>
      <c r="K33" s="43"/>
      <c r="L33" s="43"/>
      <c r="M33" s="43"/>
      <c r="N33" s="43"/>
      <c r="O33" s="43"/>
      <c r="P33" s="43"/>
      <c r="Q33" s="39"/>
      <c r="R33" s="39"/>
    </row>
    <row r="34" spans="1:18" x14ac:dyDescent="0.2">
      <c r="A34" s="43"/>
      <c r="B34" s="43"/>
      <c r="C34" s="43"/>
      <c r="D34" s="43"/>
      <c r="E34" s="43"/>
      <c r="F34" s="43"/>
      <c r="G34" s="43"/>
      <c r="H34" s="43"/>
      <c r="I34" s="43"/>
      <c r="J34" s="43"/>
      <c r="K34" s="43"/>
      <c r="L34" s="43"/>
      <c r="M34" s="43"/>
      <c r="N34" s="43"/>
      <c r="O34" s="43"/>
      <c r="P34" s="43"/>
      <c r="Q34" s="39"/>
      <c r="R34" s="39"/>
    </row>
    <row r="35" spans="1:18" x14ac:dyDescent="0.2">
      <c r="A35" s="43"/>
      <c r="B35" s="43"/>
      <c r="C35" s="43"/>
      <c r="D35" s="43"/>
      <c r="E35" s="43"/>
      <c r="F35" s="43"/>
      <c r="G35" s="43"/>
      <c r="H35" s="43"/>
      <c r="I35" s="43"/>
      <c r="J35" s="43"/>
      <c r="K35" s="43"/>
      <c r="L35" s="43"/>
      <c r="M35" s="43"/>
      <c r="N35" s="43"/>
      <c r="O35" s="43"/>
      <c r="P35" s="43"/>
      <c r="Q35" s="39"/>
      <c r="R35" s="39"/>
    </row>
    <row r="36" spans="1:18" x14ac:dyDescent="0.2">
      <c r="A36" s="43"/>
      <c r="B36" s="43"/>
      <c r="C36" s="43"/>
      <c r="D36" s="43"/>
      <c r="E36" s="43"/>
      <c r="F36" s="43"/>
      <c r="G36" s="43"/>
      <c r="H36" s="43"/>
      <c r="I36" s="43"/>
      <c r="J36" s="43"/>
      <c r="K36" s="43"/>
      <c r="L36" s="43"/>
      <c r="M36" s="43"/>
      <c r="N36" s="43"/>
      <c r="O36" s="43"/>
      <c r="P36" s="43"/>
      <c r="Q36" s="39"/>
      <c r="R36" s="39"/>
    </row>
    <row r="37" spans="1:18" x14ac:dyDescent="0.2">
      <c r="A37" s="43"/>
      <c r="B37" s="43"/>
      <c r="C37" s="43"/>
      <c r="D37" s="43"/>
      <c r="E37" s="43"/>
      <c r="F37" s="43"/>
      <c r="G37" s="43"/>
      <c r="H37" s="43"/>
      <c r="I37" s="43"/>
      <c r="J37" s="43"/>
      <c r="K37" s="43"/>
      <c r="L37" s="43"/>
      <c r="M37" s="43"/>
      <c r="N37" s="43"/>
      <c r="O37" s="43"/>
      <c r="P37" s="43"/>
      <c r="Q37" s="39"/>
      <c r="R37" s="39"/>
    </row>
    <row r="38" spans="1:18" x14ac:dyDescent="0.2">
      <c r="A38" s="43"/>
      <c r="B38" s="43"/>
      <c r="C38" s="43"/>
      <c r="D38" s="43"/>
      <c r="E38" s="43"/>
      <c r="F38" s="43"/>
      <c r="G38" s="43"/>
      <c r="H38" s="43"/>
      <c r="I38" s="43"/>
      <c r="J38" s="43"/>
      <c r="K38" s="43"/>
      <c r="L38" s="43"/>
      <c r="M38" s="43"/>
      <c r="N38" s="43"/>
      <c r="O38" s="43"/>
      <c r="P38" s="43"/>
      <c r="Q38" s="39"/>
      <c r="R38" s="39"/>
    </row>
    <row r="39" spans="1:18" x14ac:dyDescent="0.2">
      <c r="A39" s="43"/>
      <c r="B39" s="43"/>
      <c r="C39" s="43"/>
      <c r="D39" s="43"/>
      <c r="E39" s="43"/>
      <c r="F39" s="43"/>
      <c r="G39" s="43"/>
      <c r="H39" s="43"/>
      <c r="I39" s="43"/>
      <c r="J39" s="43"/>
      <c r="K39" s="43"/>
      <c r="L39" s="43"/>
      <c r="M39" s="43"/>
      <c r="N39" s="43"/>
      <c r="O39" s="43"/>
      <c r="P39" s="43"/>
      <c r="Q39" s="39"/>
      <c r="R39" s="39"/>
    </row>
    <row r="40" spans="1:18" x14ac:dyDescent="0.2">
      <c r="A40" s="43"/>
      <c r="B40" s="43"/>
      <c r="C40" s="43"/>
      <c r="D40" s="43"/>
      <c r="E40" s="43"/>
      <c r="F40" s="43"/>
      <c r="G40" s="43"/>
      <c r="H40" s="43"/>
      <c r="I40" s="43"/>
      <c r="J40" s="43"/>
      <c r="K40" s="43"/>
      <c r="L40" s="43"/>
      <c r="M40" s="43"/>
      <c r="N40" s="43"/>
      <c r="O40" s="43"/>
      <c r="P40" s="43"/>
      <c r="Q40" s="39"/>
      <c r="R40" s="39"/>
    </row>
    <row r="41" spans="1:18" x14ac:dyDescent="0.2">
      <c r="A41" s="43"/>
      <c r="B41" s="43"/>
      <c r="C41" s="43"/>
      <c r="D41" s="43"/>
      <c r="E41" s="43"/>
      <c r="F41" s="43"/>
      <c r="G41" s="43"/>
      <c r="H41" s="43"/>
      <c r="I41" s="43"/>
      <c r="J41" s="43"/>
      <c r="K41" s="43"/>
      <c r="L41" s="43"/>
      <c r="M41" s="43"/>
      <c r="N41" s="43"/>
      <c r="O41" s="43"/>
      <c r="P41" s="43"/>
      <c r="Q41" s="39"/>
      <c r="R41" s="39"/>
    </row>
    <row r="42" spans="1:18" x14ac:dyDescent="0.2">
      <c r="A42" s="43"/>
      <c r="B42" s="43"/>
      <c r="C42" s="43"/>
      <c r="D42" s="43"/>
      <c r="E42" s="43"/>
      <c r="F42" s="43"/>
      <c r="G42" s="43"/>
      <c r="H42" s="43"/>
      <c r="I42" s="43"/>
      <c r="J42" s="43"/>
      <c r="K42" s="43"/>
      <c r="L42" s="43"/>
      <c r="M42" s="43"/>
      <c r="N42" s="43"/>
      <c r="O42" s="43"/>
      <c r="P42" s="43"/>
      <c r="Q42" s="39"/>
      <c r="R42" s="39"/>
    </row>
    <row r="43" spans="1:18" x14ac:dyDescent="0.2">
      <c r="A43" s="43"/>
      <c r="B43" s="43"/>
      <c r="C43" s="43"/>
      <c r="D43" s="43"/>
      <c r="E43" s="43"/>
      <c r="F43" s="43"/>
      <c r="G43" s="43"/>
      <c r="H43" s="43"/>
      <c r="I43" s="43"/>
      <c r="J43" s="43"/>
      <c r="K43" s="43"/>
      <c r="L43" s="43"/>
      <c r="M43" s="43"/>
      <c r="N43" s="43"/>
      <c r="O43" s="43"/>
      <c r="P43" s="43"/>
      <c r="Q43" s="39"/>
      <c r="R43" s="39"/>
    </row>
    <row r="44" spans="1:18" x14ac:dyDescent="0.2">
      <c r="A44" s="43"/>
      <c r="B44" s="43"/>
      <c r="C44" s="43"/>
      <c r="D44" s="43"/>
      <c r="E44" s="43"/>
      <c r="F44" s="43"/>
      <c r="G44" s="43"/>
      <c r="H44" s="43"/>
      <c r="I44" s="43"/>
      <c r="J44" s="43"/>
      <c r="K44" s="43"/>
      <c r="L44" s="43"/>
      <c r="M44" s="43"/>
      <c r="N44" s="43"/>
      <c r="O44" s="43"/>
      <c r="P44" s="43"/>
      <c r="Q44" s="39"/>
      <c r="R44" s="39"/>
    </row>
    <row r="45" spans="1:18" x14ac:dyDescent="0.2">
      <c r="A45" s="43"/>
      <c r="B45" s="43"/>
      <c r="C45" s="43"/>
      <c r="D45" s="43"/>
      <c r="E45" s="43"/>
      <c r="F45" s="43"/>
      <c r="G45" s="43"/>
      <c r="H45" s="43"/>
      <c r="I45" s="43"/>
      <c r="J45" s="43"/>
      <c r="K45" s="43"/>
      <c r="L45" s="43"/>
      <c r="M45" s="43"/>
      <c r="N45" s="43"/>
      <c r="O45" s="43"/>
      <c r="P45" s="43"/>
      <c r="Q45" s="39"/>
      <c r="R45" s="39"/>
    </row>
    <row r="46" spans="1:18" x14ac:dyDescent="0.2">
      <c r="A46" s="43"/>
      <c r="B46" s="43"/>
      <c r="C46" s="43"/>
      <c r="D46" s="43"/>
      <c r="E46" s="43"/>
      <c r="F46" s="43"/>
      <c r="G46" s="43"/>
      <c r="H46" s="43"/>
      <c r="I46" s="43"/>
      <c r="J46" s="43"/>
      <c r="K46" s="43"/>
      <c r="L46" s="43"/>
      <c r="M46" s="43"/>
      <c r="N46" s="43"/>
      <c r="O46" s="43"/>
      <c r="P46" s="43"/>
      <c r="Q46" s="39"/>
      <c r="R46" s="39"/>
    </row>
    <row r="47" spans="1:18" x14ac:dyDescent="0.2">
      <c r="A47" s="43"/>
      <c r="B47" s="43"/>
      <c r="C47" s="43"/>
      <c r="D47" s="43"/>
      <c r="E47" s="43"/>
      <c r="F47" s="43"/>
      <c r="G47" s="43"/>
      <c r="H47" s="43"/>
      <c r="I47" s="43"/>
      <c r="J47" s="43"/>
      <c r="K47" s="43"/>
      <c r="L47" s="43"/>
      <c r="M47" s="43"/>
      <c r="N47" s="43"/>
      <c r="O47" s="43"/>
      <c r="P47" s="43"/>
      <c r="Q47" s="39"/>
      <c r="R47" s="39"/>
    </row>
    <row r="48" spans="1:18" x14ac:dyDescent="0.2">
      <c r="A48" s="43"/>
      <c r="B48" s="43"/>
      <c r="C48" s="43"/>
      <c r="D48" s="43"/>
      <c r="E48" s="43"/>
      <c r="F48" s="43"/>
      <c r="G48" s="43"/>
      <c r="H48" s="43"/>
      <c r="I48" s="43"/>
      <c r="J48" s="43"/>
      <c r="K48" s="43"/>
      <c r="L48" s="43"/>
      <c r="M48" s="43"/>
      <c r="N48" s="43"/>
      <c r="O48" s="43"/>
      <c r="P48" s="43"/>
      <c r="Q48" s="39"/>
      <c r="R48" s="39"/>
    </row>
    <row r="49" spans="1:18" x14ac:dyDescent="0.2">
      <c r="A49" s="43"/>
      <c r="B49" s="43"/>
      <c r="C49" s="43"/>
      <c r="D49" s="43"/>
      <c r="E49" s="43"/>
      <c r="F49" s="43"/>
      <c r="G49" s="43"/>
      <c r="H49" s="43"/>
      <c r="I49" s="43"/>
      <c r="J49" s="43"/>
      <c r="K49" s="43"/>
      <c r="L49" s="43"/>
      <c r="M49" s="43"/>
      <c r="N49" s="43"/>
      <c r="O49" s="43"/>
      <c r="P49" s="43"/>
      <c r="Q49" s="39"/>
      <c r="R49" s="39"/>
    </row>
    <row r="50" spans="1:18" x14ac:dyDescent="0.2">
      <c r="A50" s="43"/>
      <c r="B50" s="43"/>
      <c r="C50" s="43"/>
      <c r="D50" s="43"/>
      <c r="E50" s="43"/>
      <c r="F50" s="43"/>
      <c r="G50" s="43"/>
      <c r="H50" s="43"/>
      <c r="I50" s="43"/>
      <c r="J50" s="43"/>
      <c r="K50" s="43"/>
      <c r="L50" s="43"/>
      <c r="M50" s="43"/>
      <c r="N50" s="43"/>
      <c r="O50" s="43"/>
      <c r="P50" s="43"/>
      <c r="Q50" s="39"/>
      <c r="R50" s="39"/>
    </row>
    <row r="51" spans="1:18" x14ac:dyDescent="0.2">
      <c r="A51" s="43"/>
      <c r="B51" s="43"/>
      <c r="C51" s="43"/>
      <c r="D51" s="43"/>
      <c r="E51" s="43"/>
      <c r="F51" s="43"/>
      <c r="G51" s="43"/>
      <c r="H51" s="43"/>
      <c r="I51" s="43"/>
      <c r="J51" s="43"/>
      <c r="K51" s="43"/>
      <c r="L51" s="43"/>
      <c r="M51" s="43"/>
      <c r="N51" s="43"/>
      <c r="O51" s="43"/>
      <c r="P51" s="43"/>
      <c r="Q51" s="39"/>
      <c r="R51" s="39"/>
    </row>
    <row r="52" spans="1:18" x14ac:dyDescent="0.2">
      <c r="A52" s="43"/>
      <c r="B52" s="43"/>
      <c r="C52" s="43"/>
      <c r="D52" s="43"/>
      <c r="E52" s="43"/>
      <c r="F52" s="43"/>
      <c r="G52" s="43"/>
      <c r="H52" s="43"/>
      <c r="I52" s="43"/>
      <c r="J52" s="43"/>
      <c r="K52" s="43"/>
      <c r="L52" s="43"/>
      <c r="M52" s="43"/>
      <c r="N52" s="43"/>
      <c r="O52" s="43"/>
      <c r="P52" s="43"/>
      <c r="Q52" s="39"/>
      <c r="R52" s="39"/>
    </row>
    <row r="53" spans="1:18" x14ac:dyDescent="0.2">
      <c r="A53" s="43"/>
      <c r="B53" s="43"/>
      <c r="C53" s="43"/>
      <c r="D53" s="43"/>
      <c r="E53" s="43"/>
      <c r="F53" s="43"/>
      <c r="G53" s="43"/>
      <c r="H53" s="43"/>
      <c r="I53" s="43"/>
      <c r="J53" s="43"/>
      <c r="K53" s="43"/>
      <c r="L53" s="43"/>
      <c r="M53" s="43"/>
      <c r="N53" s="43"/>
      <c r="O53" s="43"/>
      <c r="P53" s="43"/>
      <c r="Q53" s="39"/>
      <c r="R53" s="39"/>
    </row>
    <row r="54" spans="1:18" x14ac:dyDescent="0.2">
      <c r="A54" s="43"/>
      <c r="B54" s="43"/>
      <c r="C54" s="43"/>
      <c r="D54" s="43"/>
      <c r="E54" s="43"/>
      <c r="F54" s="43"/>
      <c r="G54" s="43"/>
      <c r="H54" s="43"/>
      <c r="I54" s="43"/>
      <c r="J54" s="43"/>
      <c r="K54" s="43"/>
      <c r="L54" s="43"/>
      <c r="M54" s="43"/>
      <c r="N54" s="43"/>
      <c r="O54" s="43"/>
      <c r="P54" s="43"/>
      <c r="Q54" s="39"/>
      <c r="R54" s="39"/>
    </row>
    <row r="55" spans="1:18" x14ac:dyDescent="0.2">
      <c r="A55" s="43"/>
      <c r="B55" s="43"/>
      <c r="C55" s="43"/>
      <c r="D55" s="43"/>
      <c r="E55" s="43"/>
      <c r="F55" s="43"/>
      <c r="G55" s="43"/>
      <c r="H55" s="43"/>
      <c r="I55" s="43"/>
      <c r="J55" s="43"/>
      <c r="K55" s="43"/>
      <c r="L55" s="43"/>
      <c r="M55" s="43"/>
      <c r="N55" s="43"/>
      <c r="O55" s="43"/>
      <c r="P55" s="43"/>
      <c r="Q55" s="39"/>
      <c r="R55" s="39"/>
    </row>
    <row r="56" spans="1:18" x14ac:dyDescent="0.2">
      <c r="A56" s="43"/>
      <c r="B56" s="43"/>
      <c r="C56" s="43"/>
      <c r="D56" s="43"/>
      <c r="E56" s="43"/>
      <c r="F56" s="43"/>
      <c r="G56" s="43"/>
      <c r="H56" s="43"/>
      <c r="I56" s="43"/>
      <c r="J56" s="43"/>
      <c r="K56" s="43"/>
      <c r="L56" s="43"/>
      <c r="M56" s="43"/>
      <c r="N56" s="43"/>
      <c r="O56" s="43"/>
      <c r="P56" s="43"/>
      <c r="Q56" s="39"/>
      <c r="R56" s="39"/>
    </row>
    <row r="57" spans="1:18" x14ac:dyDescent="0.2">
      <c r="A57" s="43"/>
      <c r="B57" s="43"/>
      <c r="C57" s="43"/>
      <c r="D57" s="43"/>
      <c r="E57" s="43"/>
      <c r="F57" s="43"/>
      <c r="G57" s="43"/>
      <c r="H57" s="43"/>
      <c r="I57" s="43"/>
      <c r="J57" s="43"/>
      <c r="K57" s="43"/>
      <c r="L57" s="43"/>
      <c r="M57" s="43"/>
      <c r="N57" s="43"/>
      <c r="O57" s="43"/>
      <c r="P57" s="43"/>
      <c r="Q57" s="39"/>
      <c r="R57" s="39"/>
    </row>
    <row r="58" spans="1:18" x14ac:dyDescent="0.2">
      <c r="A58" s="43"/>
      <c r="B58" s="43"/>
      <c r="C58" s="43"/>
      <c r="D58" s="43"/>
      <c r="E58" s="43"/>
      <c r="F58" s="43"/>
      <c r="G58" s="43"/>
      <c r="H58" s="43"/>
      <c r="I58" s="43"/>
      <c r="J58" s="43"/>
      <c r="K58" s="43"/>
      <c r="L58" s="43"/>
      <c r="M58" s="43"/>
      <c r="N58" s="43"/>
      <c r="O58" s="43"/>
      <c r="P58" s="43"/>
      <c r="Q58" s="39"/>
      <c r="R58" s="39"/>
    </row>
    <row r="59" spans="1:18" x14ac:dyDescent="0.2">
      <c r="A59" s="43"/>
      <c r="B59" s="43"/>
      <c r="C59" s="43"/>
      <c r="D59" s="43"/>
      <c r="E59" s="43"/>
      <c r="F59" s="43"/>
      <c r="G59" s="43"/>
      <c r="H59" s="43"/>
      <c r="I59" s="43"/>
      <c r="J59" s="43"/>
      <c r="K59" s="43"/>
      <c r="L59" s="43"/>
      <c r="M59" s="43"/>
      <c r="N59" s="43"/>
      <c r="O59" s="43"/>
      <c r="P59" s="43"/>
      <c r="Q59" s="39"/>
      <c r="R59" s="39"/>
    </row>
    <row r="60" spans="1:18" x14ac:dyDescent="0.2">
      <c r="A60" s="43"/>
      <c r="B60" s="43"/>
      <c r="C60" s="43"/>
      <c r="D60" s="43"/>
      <c r="E60" s="43"/>
      <c r="F60" s="43"/>
      <c r="G60" s="43"/>
      <c r="H60" s="43"/>
      <c r="I60" s="43"/>
      <c r="J60" s="43"/>
      <c r="K60" s="43"/>
      <c r="L60" s="43"/>
      <c r="M60" s="43"/>
      <c r="N60" s="43"/>
      <c r="O60" s="43"/>
      <c r="P60" s="43"/>
      <c r="Q60" s="39"/>
      <c r="R60" s="39"/>
    </row>
    <row r="61" spans="1:18" x14ac:dyDescent="0.2">
      <c r="A61" s="43"/>
      <c r="B61" s="43"/>
      <c r="C61" s="43"/>
      <c r="D61" s="43"/>
      <c r="E61" s="43"/>
      <c r="F61" s="43"/>
      <c r="G61" s="43"/>
      <c r="H61" s="43"/>
      <c r="I61" s="43"/>
      <c r="J61" s="43"/>
      <c r="K61" s="43"/>
      <c r="L61" s="43"/>
      <c r="M61" s="43"/>
      <c r="N61" s="43"/>
      <c r="O61" s="43"/>
      <c r="P61" s="43"/>
      <c r="Q61" s="39"/>
      <c r="R61" s="39"/>
    </row>
    <row r="62" spans="1:18" x14ac:dyDescent="0.2">
      <c r="O62" s="39"/>
      <c r="P62" s="39"/>
    </row>
    <row r="63" spans="1:18" x14ac:dyDescent="0.2">
      <c r="O63" s="39"/>
      <c r="P63" s="39"/>
    </row>
    <row r="64" spans="1:18" x14ac:dyDescent="0.2">
      <c r="O64" s="39"/>
      <c r="P64" s="39"/>
    </row>
    <row r="65" spans="15:16" x14ac:dyDescent="0.2">
      <c r="O65" s="39"/>
      <c r="P65" s="39"/>
    </row>
    <row r="66" spans="15:16" x14ac:dyDescent="0.2">
      <c r="O66" s="39"/>
      <c r="P66" s="39"/>
    </row>
    <row r="67" spans="15:16" x14ac:dyDescent="0.2">
      <c r="O67" s="39"/>
      <c r="P67" s="39"/>
    </row>
    <row r="68" spans="15:16" x14ac:dyDescent="0.2">
      <c r="O68" s="39"/>
      <c r="P68" s="39"/>
    </row>
    <row r="69" spans="15:16" x14ac:dyDescent="0.2">
      <c r="O69" s="39"/>
      <c r="P69" s="39"/>
    </row>
    <row r="70" spans="15:16" x14ac:dyDescent="0.2">
      <c r="O70" s="39"/>
      <c r="P70" s="39"/>
    </row>
    <row r="71" spans="15:16" x14ac:dyDescent="0.2">
      <c r="O71" s="39"/>
      <c r="P71" s="39"/>
    </row>
    <row r="72" spans="15:16" x14ac:dyDescent="0.2">
      <c r="O72" s="39"/>
      <c r="P72" s="39"/>
    </row>
    <row r="73" spans="15:16" x14ac:dyDescent="0.2">
      <c r="O73" s="39"/>
      <c r="P73" s="39"/>
    </row>
    <row r="74" spans="15:16" x14ac:dyDescent="0.2">
      <c r="O74" s="39"/>
      <c r="P74" s="39"/>
    </row>
    <row r="75" spans="15:16" x14ac:dyDescent="0.2">
      <c r="O75" s="39"/>
      <c r="P75" s="39"/>
    </row>
    <row r="76" spans="15:16" x14ac:dyDescent="0.2">
      <c r="O76" s="39"/>
      <c r="P76" s="39"/>
    </row>
    <row r="77" spans="15:16" x14ac:dyDescent="0.2">
      <c r="O77" s="39"/>
      <c r="P77" s="39"/>
    </row>
    <row r="78" spans="15:16" x14ac:dyDescent="0.2">
      <c r="O78" s="39"/>
      <c r="P78" s="39"/>
    </row>
    <row r="79" spans="15:16" x14ac:dyDescent="0.2">
      <c r="O79" s="39"/>
      <c r="P79" s="39"/>
    </row>
    <row r="80" spans="15:16" x14ac:dyDescent="0.2">
      <c r="O80" s="39"/>
      <c r="P80" s="39"/>
    </row>
    <row r="81" spans="15:16" x14ac:dyDescent="0.2">
      <c r="O81" s="39"/>
      <c r="P81" s="39"/>
    </row>
    <row r="82" spans="15:16" x14ac:dyDescent="0.2">
      <c r="O82" s="39"/>
      <c r="P82" s="39"/>
    </row>
    <row r="83" spans="15:16" x14ac:dyDescent="0.2">
      <c r="O83" s="39"/>
      <c r="P83" s="39"/>
    </row>
    <row r="84" spans="15:16" x14ac:dyDescent="0.2">
      <c r="O84" s="39"/>
      <c r="P84" s="39"/>
    </row>
    <row r="85" spans="15:16" x14ac:dyDescent="0.2">
      <c r="O85" s="39"/>
      <c r="P85" s="39"/>
    </row>
    <row r="86" spans="15:16" x14ac:dyDescent="0.2">
      <c r="O86" s="39"/>
      <c r="P86" s="39"/>
    </row>
    <row r="87" spans="15:16" x14ac:dyDescent="0.2">
      <c r="O87" s="39"/>
      <c r="P87" s="39"/>
    </row>
    <row r="88" spans="15:16" x14ac:dyDescent="0.2">
      <c r="O88" s="39"/>
      <c r="P88" s="39"/>
    </row>
    <row r="89" spans="15:16" x14ac:dyDescent="0.2">
      <c r="O89" s="39"/>
      <c r="P89" s="39"/>
    </row>
    <row r="90" spans="15:16" x14ac:dyDescent="0.2">
      <c r="O90" s="39"/>
      <c r="P90" s="39"/>
    </row>
    <row r="91" spans="15:16" x14ac:dyDescent="0.2">
      <c r="O91" s="39"/>
      <c r="P91" s="39"/>
    </row>
    <row r="92" spans="15:16" x14ac:dyDescent="0.2">
      <c r="O92" s="39"/>
      <c r="P92" s="39"/>
    </row>
    <row r="93" spans="15:16" x14ac:dyDescent="0.2">
      <c r="O93" s="39"/>
      <c r="P93" s="39"/>
    </row>
    <row r="94" spans="15:16" x14ac:dyDescent="0.2">
      <c r="O94" s="39"/>
      <c r="P94" s="39"/>
    </row>
    <row r="95" spans="15:16" x14ac:dyDescent="0.2">
      <c r="O95" s="39"/>
      <c r="P95" s="39"/>
    </row>
    <row r="96" spans="15:16" x14ac:dyDescent="0.2">
      <c r="O96" s="39"/>
      <c r="P96" s="39"/>
    </row>
    <row r="97" spans="15:16" x14ac:dyDescent="0.2">
      <c r="O97" s="39"/>
      <c r="P97" s="39"/>
    </row>
    <row r="98" spans="15:16" x14ac:dyDescent="0.2">
      <c r="O98" s="39"/>
      <c r="P98" s="39"/>
    </row>
    <row r="99" spans="15:16" x14ac:dyDescent="0.2">
      <c r="O99" s="39"/>
      <c r="P99" s="39"/>
    </row>
    <row r="100" spans="15:16" x14ac:dyDescent="0.2">
      <c r="O100" s="39"/>
      <c r="P100" s="39"/>
    </row>
    <row r="101" spans="15:16" x14ac:dyDescent="0.2">
      <c r="O101" s="39"/>
      <c r="P101" s="39"/>
    </row>
    <row r="102" spans="15:16" x14ac:dyDescent="0.2">
      <c r="O102" s="39"/>
      <c r="P102" s="39"/>
    </row>
    <row r="103" spans="15:16" x14ac:dyDescent="0.2">
      <c r="O103" s="39"/>
      <c r="P103" s="39"/>
    </row>
    <row r="104" spans="15:16" x14ac:dyDescent="0.2">
      <c r="O104" s="39"/>
      <c r="P104" s="39"/>
    </row>
    <row r="105" spans="15:16" x14ac:dyDescent="0.2">
      <c r="O105" s="39"/>
      <c r="P105" s="39"/>
    </row>
    <row r="106" spans="15:16" x14ac:dyDescent="0.2">
      <c r="O106" s="39"/>
      <c r="P106" s="39"/>
    </row>
    <row r="107" spans="15:16" x14ac:dyDescent="0.2">
      <c r="O107" s="39"/>
      <c r="P107" s="39"/>
    </row>
    <row r="108" spans="15:16" x14ac:dyDescent="0.2">
      <c r="O108" s="39"/>
      <c r="P108" s="39"/>
    </row>
    <row r="109" spans="15:16" x14ac:dyDescent="0.2">
      <c r="O109" s="39"/>
      <c r="P109" s="39"/>
    </row>
    <row r="110" spans="15:16" x14ac:dyDescent="0.2">
      <c r="O110" s="39"/>
      <c r="P110" s="39"/>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M:ENPH/explorer/revenue_proj" xr:uid="{BED9DE57-BDFC-A44D-B948-CB7A8FA535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2023-12-02T07:29:05Z</dcterms:modified>
</cp:coreProperties>
</file>