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A37D68BE-17B7-8A42-A497-A3D6429D80D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O8" i="2"/>
  <c r="O12" i="2" s="1"/>
  <c r="A22" i="2" a="1"/>
  <c r="A22" i="2" s="1"/>
  <c r="D21" i="2" a="1"/>
  <c r="D21" i="2" s="1"/>
  <c r="A21" i="2" a="1"/>
  <c r="A21" i="2" s="1"/>
  <c r="O20" i="2" a="1"/>
  <c r="O20" i="2" s="1"/>
  <c r="J17" i="2"/>
  <c r="I17" i="2"/>
  <c r="H17" i="2"/>
  <c r="G17" i="2"/>
  <c r="F17" i="2"/>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J11" i="2"/>
  <c r="I11" i="2"/>
  <c r="H11" i="2"/>
  <c r="G11" i="2"/>
  <c r="K11" i="2" s="1"/>
  <c r="F11" i="2"/>
  <c r="E11" i="2"/>
  <c r="D11" i="2"/>
  <c r="E3" i="2" s="1"/>
  <c r="C11" i="2"/>
  <c r="O11" i="2"/>
  <c r="C6" i="2"/>
  <c r="K5" i="2" a="1"/>
  <c r="K5" i="2" s="1"/>
  <c r="A5" i="2" a="1"/>
  <c r="A5" i="2" s="1"/>
  <c r="K4" i="2" a="1"/>
  <c r="K4" i="2" s="1"/>
  <c r="A3" i="2" a="1"/>
  <c r="A3" i="2" s="1"/>
  <c r="K3" i="2" s="1"/>
  <c r="L190" i="1"/>
  <c r="K190" i="1"/>
  <c r="J190" i="1"/>
  <c r="I190" i="1"/>
  <c r="H190" i="1"/>
  <c r="G190" i="1"/>
  <c r="F190" i="1"/>
  <c r="E190" i="1"/>
  <c r="D190" i="1"/>
  <c r="C190" i="1"/>
  <c r="B190" i="1"/>
  <c r="L189"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L35" i="1"/>
  <c r="K35" i="1"/>
  <c r="J35" i="1"/>
  <c r="H35" i="1"/>
  <c r="G35" i="1"/>
  <c r="F35" i="1"/>
  <c r="E35" i="1"/>
  <c r="D35" i="1"/>
  <c r="C35" i="1"/>
  <c r="L18"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L3" i="1"/>
  <c r="K3" i="1"/>
  <c r="J3" i="1"/>
  <c r="H3" i="1"/>
  <c r="G3" i="1"/>
  <c r="F3" i="1"/>
  <c r="E3" i="1"/>
  <c r="D3" i="1"/>
  <c r="C3" i="1"/>
  <c r="K16" i="2" l="1"/>
  <c r="K13" i="2"/>
  <c r="G4" i="2"/>
  <c r="E4" i="2"/>
  <c r="C7" i="2"/>
  <c r="A7" i="2"/>
  <c r="A6" i="2"/>
  <c r="O19" i="2"/>
  <c r="O21" i="2" l="1"/>
  <c r="O23" i="2" s="1"/>
  <c r="O22" i="2" l="1"/>
  <c r="O14" i="2" l="1"/>
  <c r="O17" i="2" s="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<sst xmlns="http://schemas.openxmlformats.org/spreadsheetml/2006/main" count="992" uniqueCount="245">
  <si>
    <t>2017 Y</t>
  </si>
  <si>
    <t>2018 Y</t>
  </si>
  <si>
    <t>2019 Y</t>
  </si>
  <si>
    <t>2020 Y</t>
  </si>
  <si>
    <t>2021 Y</t>
  </si>
  <si>
    <t>2022 Y</t>
  </si>
  <si>
    <t>TTM</t>
  </si>
  <si>
    <t>2022 Q3</t>
  </si>
  <si>
    <t>2022 Q4</t>
  </si>
  <si>
    <t>2020 Q1</t>
  </si>
  <si>
    <t>2020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</si>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</sst>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2"/>
      <color rgb="FF000000"/>
      <name val="Arial"/>
      <family val="2"/>
    </font>
    <font>
      <sz val="11"/>
      <name val="Calibri"/>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sz val="13"/>
      <name val="Arial"/>
      <family val="2"/>
    </font>
    <font>
      <sz val="13"/>
      <name val="Arial"/>
      <family val="2"/>
    </font>
    <font>
      <sz val="13"/>
      <name val="Calibri"/>
      <family val="2"/>
    </font>
    <font>
      <b/>
      <sz val="14"/>
      <name val="Arial"/>
      <family val="2"/>
    </font>
    <font>
      <i/>
      <sz val="11"/>
      <name val="Arial"/>
      <family val="2"/>
    </font>
    <font>
      <b/>
      <i/>
      <u/>
      <sz val="13"/>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6">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9" fillId="6" borderId="1" xfId="0" applyFont="1" applyFill="1" applyBorder="1" applyAlignment="1">
      <alignment horizontal="left" vertical="center" indent="1"/>
    </xf>
    <xf numFmtId="164" fontId="9" fillId="6" borderId="1" xfId="0" applyNumberFormat="1" applyFont="1" applyFill="1" applyBorder="1"/>
    <xf numFmtId="9" fontId="9" fillId="6" borderId="1" xfId="0" applyNumberFormat="1" applyFont="1" applyFill="1" applyBorder="1" applyAlignment="1">
      <alignment horizontal="right" vertical="center"/>
    </xf>
    <xf numFmtId="0" fontId="9" fillId="6" borderId="1" xfId="0" applyFont="1" applyFill="1" applyBorder="1" applyAlignment="1">
      <alignment horizontal="left" vertical="center" indent="2"/>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64" fontId="9" fillId="6" borderId="2" xfId="0" applyNumberFormat="1" applyFont="1" applyFill="1" applyBorder="1"/>
    <xf numFmtId="9" fontId="9"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9" fillId="6" borderId="1" xfId="0" applyNumberFormat="1" applyFont="1" applyFill="1" applyBorder="1" applyAlignment="1">
      <alignment horizontal="right" vertical="center"/>
    </xf>
    <xf numFmtId="0" fontId="9" fillId="8" borderId="1" xfId="0" applyFont="1" applyFill="1" applyBorder="1" applyAlignment="1">
      <alignment horizontal="left" vertical="center"/>
    </xf>
    <xf numFmtId="164" fontId="9" fillId="8" borderId="1" xfId="0" applyNumberFormat="1" applyFont="1" applyFill="1" applyBorder="1"/>
    <xf numFmtId="9" fontId="9"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0" fontId="3" fillId="0" borderId="1" xfId="0" applyFont="1" applyBorder="1"/>
    <xf numFmtId="3" fontId="4" fillId="0" borderId="1" xfId="0" applyNumberFormat="1" applyFont="1" applyBorder="1"/>
    <xf numFmtId="3" fontId="5" fillId="4" borderId="1" xfId="0" applyNumberFormat="1" applyFont="1" applyFill="1" applyBorder="1"/>
    <xf numFmtId="4" fontId="6" fillId="0" borderId="1" xfId="0" applyNumberFormat="1" applyFont="1" applyBorder="1"/>
    <xf numFmtId="4" fontId="7" fillId="5" borderId="1" xfId="0" applyNumberFormat="1" applyFont="1" applyFill="1" applyBorder="1"/>
    <xf numFmtId="0" fontId="2" fillId="0" borderId="1" xfId="0" applyFont="1" applyBorder="1"/>
    <xf numFmtId="164" fontId="3" fillId="9" borderId="4" xfId="0" applyNumberFormat="1" applyFont="1" applyFill="1" applyBorder="1" applyAlignment="1">
      <alignment horizontal="right" vertical="center" indent="1"/>
    </xf>
    <xf numFmtId="9" fontId="11" fillId="10" borderId="5" xfId="1" applyFont="1" applyFill="1" applyBorder="1" applyAlignment="1">
      <alignment horizontal="left" vertical="center" indent="1"/>
    </xf>
    <xf numFmtId="9" fontId="3" fillId="9" borderId="6" xfId="1" applyFont="1" applyFill="1" applyBorder="1" applyAlignment="1">
      <alignment horizontal="right" vertical="center" indent="1"/>
    </xf>
    <xf numFmtId="0" fontId="11" fillId="10" borderId="5"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6"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0" fontId="10" fillId="11" borderId="0" xfId="0" applyFont="1" applyFill="1"/>
    <xf numFmtId="164" fontId="3" fillId="9" borderId="11" xfId="0" applyNumberFormat="1" applyFont="1" applyFill="1" applyBorder="1" applyAlignment="1">
      <alignment horizontal="right" vertical="center" indent="1"/>
    </xf>
    <xf numFmtId="9" fontId="11" fillId="10" borderId="12"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3" xfId="1" applyFont="1" applyFill="1" applyBorder="1" applyAlignment="1">
      <alignment horizontal="left" vertical="center" indent="1"/>
    </xf>
    <xf numFmtId="0" fontId="13" fillId="12" borderId="14" xfId="0" applyFont="1" applyFill="1" applyBorder="1" applyAlignment="1">
      <alignment horizontal="left" vertical="center" wrapText="1"/>
    </xf>
    <xf numFmtId="164" fontId="14" fillId="12" borderId="12" xfId="0" applyNumberFormat="1" applyFont="1" applyFill="1" applyBorder="1" applyAlignment="1">
      <alignment vertical="center"/>
    </xf>
    <xf numFmtId="167" fontId="3" fillId="9" borderId="1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5" fillId="10" borderId="13" xfId="1" applyFont="1" applyFill="1" applyBorder="1" applyAlignment="1">
      <alignment horizontal="left" vertical="center" indent="1"/>
    </xf>
    <xf numFmtId="167" fontId="3" fillId="9" borderId="15"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9" fontId="3" fillId="9" borderId="17" xfId="1" applyFont="1" applyFill="1" applyBorder="1" applyAlignment="1">
      <alignment horizontal="right" vertical="center" indent="1"/>
    </xf>
    <xf numFmtId="2" fontId="3" fillId="9" borderId="16" xfId="0"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165" fontId="3" fillId="14" borderId="17" xfId="1"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9" fontId="2" fillId="13" borderId="17" xfId="1" applyFont="1" applyFill="1" applyBorder="1" applyAlignment="1">
      <alignment horizontal="right" vertical="center" indent="1"/>
    </xf>
    <xf numFmtId="9" fontId="15" fillId="10" borderId="18" xfId="1" applyFont="1" applyFill="1" applyBorder="1" applyAlignment="1">
      <alignment horizontal="left" vertical="center" indent="1"/>
    </xf>
    <xf numFmtId="9" fontId="3" fillId="11" borderId="0" xfId="1" applyFont="1" applyFill="1" applyBorder="1" applyAlignment="1">
      <alignment horizontal="left" indent="1"/>
    </xf>
    <xf numFmtId="0" fontId="17" fillId="12" borderId="14" xfId="0" applyFont="1" applyFill="1" applyBorder="1" applyAlignment="1">
      <alignment horizontal="left" vertical="center" wrapText="1"/>
    </xf>
    <xf numFmtId="10" fontId="18" fillId="12" borderId="12" xfId="0" applyNumberFormat="1" applyFont="1" applyFill="1" applyBorder="1" applyAlignment="1">
      <alignment vertical="center"/>
    </xf>
    <xf numFmtId="0" fontId="2" fillId="9" borderId="19" xfId="0" applyFont="1" applyFill="1" applyBorder="1" applyAlignment="1">
      <alignment horizontal="right" vertical="center"/>
    </xf>
    <xf numFmtId="0" fontId="12" fillId="9" borderId="20" xfId="0" applyFont="1" applyFill="1" applyBorder="1" applyAlignment="1">
      <alignment horizontal="right" vertical="center" indent="1"/>
    </xf>
    <xf numFmtId="0" fontId="19" fillId="14" borderId="20" xfId="0" applyFont="1" applyFill="1" applyBorder="1" applyAlignment="1">
      <alignment horizontal="right" vertical="center" indent="1"/>
    </xf>
    <xf numFmtId="0" fontId="19" fillId="14" borderId="21" xfId="0" applyFont="1" applyFill="1" applyBorder="1" applyAlignment="1">
      <alignment horizontal="right" vertical="center" indent="1"/>
    </xf>
    <xf numFmtId="0" fontId="11" fillId="11" borderId="0" xfId="0" applyFont="1" applyFill="1" applyAlignment="1">
      <alignment horizontal="right" vertical="center"/>
    </xf>
    <xf numFmtId="0" fontId="10" fillId="11" borderId="0" xfId="0" applyFont="1" applyFill="1" applyAlignment="1">
      <alignment vertical="center"/>
    </xf>
    <xf numFmtId="9" fontId="12" fillId="10" borderId="9" xfId="1" applyFont="1" applyFill="1" applyBorder="1" applyAlignment="1">
      <alignment horizontal="left" vertical="center" indent="2"/>
    </xf>
    <xf numFmtId="164" fontId="3" fillId="10" borderId="22" xfId="0" applyNumberFormat="1" applyFont="1" applyFill="1" applyBorder="1" applyAlignment="1">
      <alignment horizontal="right" vertical="center" indent="1"/>
    </xf>
    <xf numFmtId="164" fontId="3" fillId="10" borderId="9"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9" fontId="20" fillId="12" borderId="14"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4" xfId="1" applyFont="1" applyFill="1" applyBorder="1" applyAlignment="1">
      <alignment horizontal="right" vertical="center" indent="1"/>
    </xf>
    <xf numFmtId="9" fontId="3" fillId="12" borderId="12" xfId="1" applyFont="1" applyFill="1" applyBorder="1" applyAlignment="1">
      <alignment horizontal="right" vertical="center" indent="1"/>
    </xf>
    <xf numFmtId="9" fontId="3" fillId="12" borderId="12" xfId="1" applyFont="1" applyFill="1" applyBorder="1" applyAlignment="1">
      <alignment vertical="center"/>
    </xf>
    <xf numFmtId="10" fontId="14" fillId="12" borderId="12" xfId="0" applyNumberFormat="1" applyFont="1" applyFill="1" applyBorder="1" applyAlignment="1">
      <alignment vertical="center"/>
    </xf>
    <xf numFmtId="10" fontId="11" fillId="12" borderId="22" xfId="1" applyNumberFormat="1" applyFont="1" applyFill="1" applyBorder="1" applyAlignment="1">
      <alignment horizontal="right" vertical="center" indent="1"/>
    </xf>
    <xf numFmtId="10" fontId="11" fillId="12" borderId="9"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2" fontId="14" fillId="12" borderId="12" xfId="0" applyNumberFormat="1" applyFont="1" applyFill="1" applyBorder="1" applyAlignment="1">
      <alignment vertical="center"/>
    </xf>
    <xf numFmtId="0" fontId="21" fillId="12" borderId="14" xfId="0" applyFont="1" applyFill="1" applyBorder="1" applyAlignment="1">
      <alignment horizontal="left" vertical="center" indent="1"/>
    </xf>
    <xf numFmtId="0" fontId="17" fillId="12" borderId="23" xfId="0" applyFont="1" applyFill="1" applyBorder="1" applyAlignment="1">
      <alignment horizontal="left" vertical="center" wrapText="1"/>
    </xf>
    <xf numFmtId="10" fontId="18" fillId="12" borderId="24" xfId="0" applyNumberFormat="1" applyFont="1" applyFill="1" applyBorder="1" applyAlignment="1">
      <alignment vertical="center"/>
    </xf>
    <xf numFmtId="9" fontId="12" fillId="10" borderId="23" xfId="1" applyFont="1" applyFill="1" applyBorder="1" applyAlignment="1">
      <alignment horizontal="left" vertical="center" indent="2"/>
    </xf>
    <xf numFmtId="9" fontId="3" fillId="10" borderId="25" xfId="1" applyFont="1" applyFill="1" applyBorder="1" applyAlignment="1">
      <alignment horizontal="right" vertical="center" indent="1"/>
    </xf>
    <xf numFmtId="9" fontId="3" fillId="10" borderId="23"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4" xfId="1" applyFont="1" applyFill="1" applyBorder="1" applyAlignment="1">
      <alignment vertical="center"/>
    </xf>
    <xf numFmtId="164" fontId="14" fillId="12" borderId="12" xfId="0" applyNumberFormat="1" applyFont="1" applyFill="1" applyBorder="1" applyAlignment="1">
      <alignment horizontal="right" vertical="center"/>
    </xf>
    <xf numFmtId="10" fontId="18" fillId="12" borderId="12" xfId="0" applyNumberFormat="1" applyFont="1" applyFill="1" applyBorder="1" applyAlignment="1">
      <alignment horizontal="right" vertical="center"/>
    </xf>
    <xf numFmtId="10" fontId="18" fillId="12" borderId="24" xfId="0" applyNumberFormat="1" applyFont="1" applyFill="1" applyBorder="1" applyAlignment="1">
      <alignment horizontal="right" vertical="center"/>
    </xf>
    <xf numFmtId="0" fontId="11" fillId="12" borderId="9" xfId="0" applyFont="1" applyFill="1" applyBorder="1" applyAlignment="1">
      <alignment horizontal="left" vertical="center" indent="2"/>
    </xf>
    <xf numFmtId="9" fontId="23" fillId="10" borderId="12" xfId="1" applyFont="1" applyFill="1" applyBorder="1" applyAlignment="1">
      <alignment horizontal="left" vertical="center" indent="1"/>
    </xf>
    <xf numFmtId="0" fontId="24" fillId="14" borderId="20" xfId="0" applyFont="1" applyFill="1" applyBorder="1" applyAlignment="1">
      <alignment horizontal="right" vertical="center" indent="1"/>
    </xf>
    <xf numFmtId="0" fontId="11" fillId="11" borderId="0" xfId="0" applyFont="1" applyFill="1" applyAlignment="1">
      <alignment horizontal="left" vertical="center" wrapText="1" indent="3"/>
    </xf>
    <xf numFmtId="9" fontId="3" fillId="10" borderId="23" xfId="1" applyFont="1" applyFill="1" applyBorder="1" applyAlignment="1">
      <alignment horizontal="center" vertical="center"/>
    </xf>
    <xf numFmtId="9" fontId="3" fillId="10" borderId="24" xfId="1" applyFont="1" applyFill="1" applyBorder="1" applyAlignment="1">
      <alignment horizontal="center" vertical="center"/>
    </xf>
    <xf numFmtId="10" fontId="12" fillId="9" borderId="23" xfId="1" applyNumberFormat="1" applyFont="1" applyFill="1" applyBorder="1" applyAlignment="1">
      <alignment horizontal="center" vertical="center"/>
    </xf>
    <xf numFmtId="10" fontId="12" fillId="9" borderId="24" xfId="1" applyNumberFormat="1" applyFont="1" applyFill="1" applyBorder="1" applyAlignment="1">
      <alignment horizontal="center" vertical="center"/>
    </xf>
    <xf numFmtId="0" fontId="22" fillId="0" borderId="0" xfId="0" applyFont="1" applyAlignment="1">
      <alignment horizontal="left" vertical="center" indent="2"/>
    </xf>
    <xf numFmtId="9" fontId="12" fillId="12" borderId="9" xfId="1" applyFont="1" applyFill="1" applyBorder="1" applyAlignment="1">
      <alignment horizontal="center" vertical="center"/>
    </xf>
    <xf numFmtId="9" fontId="12" fillId="12" borderId="10" xfId="1" applyFont="1" applyFill="1" applyBorder="1" applyAlignment="1">
      <alignment horizontal="center" vertical="center"/>
    </xf>
    <xf numFmtId="9" fontId="3" fillId="10" borderId="9" xfId="1" applyFont="1" applyFill="1" applyBorder="1" applyAlignment="1">
      <alignment horizontal="center" vertical="center"/>
    </xf>
    <xf numFmtId="9" fontId="3" fillId="10" borderId="10" xfId="1" applyFont="1" applyFill="1" applyBorder="1" applyAlignment="1">
      <alignment horizontal="center" vertical="center"/>
    </xf>
    <xf numFmtId="1" fontId="11" fillId="11" borderId="0" xfId="0" applyNumberFormat="1" applyFont="1" applyFill="1" applyAlignment="1">
      <alignment horizontal="left" vertical="center" indent="3"/>
    </xf>
    <xf numFmtId="0" fontId="11"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120.26</v>
    <v>61.34</v>
    <v>1.1815</v>
    <v>2.0499999999999998</v>
    <v>1.7586000000000001E-2</v>
    <v>0.38</v>
    <v>3.2040000000000003E-3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118.77</v>
    <v>Software &amp; IT Services</v>
    <v>Stock</v>
    <v>45262.040781990625</v>
    <v>0</v>
    <v>116.08</v>
    <v>38973039894</v>
    <v>DATADOG, INC.</v>
    <v>DATADOG, INC.</v>
    <v>117.29</v>
    <v>116.57</v>
    <v>118.62</v>
    <v>119</v>
    <v>328553700</v>
    <v>DDOG</v>
    <v>DATADOG, INC. (XNAS:DDOG)</v>
    <v>3584923</v>
    <v>5622972</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DO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opLeftCell="A117" workbookViewId="0">
      <pane xSplit="1" topLeftCell="B1" activePane="topRight" state="frozen"/>
      <selection pane="topRight" activeCell="I175" sqref="I175"/>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30" t="s">
        <v>11</v>
      </c>
      <c r="B2" s="26">
        <v>100761000</v>
      </c>
      <c r="C2" s="26">
        <v>198077000</v>
      </c>
      <c r="D2" s="26">
        <v>362780000</v>
      </c>
      <c r="E2" s="26">
        <v>603466000</v>
      </c>
      <c r="F2" s="26">
        <v>1028784000</v>
      </c>
      <c r="G2" s="26">
        <v>1675100000</v>
      </c>
      <c r="H2" s="27">
        <v>1897106000</v>
      </c>
      <c r="I2" s="26">
        <v>436533000</v>
      </c>
      <c r="J2" s="26">
        <v>469399000</v>
      </c>
      <c r="K2" s="26">
        <v>481714000</v>
      </c>
      <c r="L2" s="26">
        <v>509460000</v>
      </c>
    </row>
    <row r="3" spans="1:12" ht="16" x14ac:dyDescent="0.2">
      <c r="A3" s="9" t="s">
        <v>184</v>
      </c>
      <c r="B3" s="10"/>
      <c r="C3" s="11">
        <f t="shared" ref="C3:L3" si="0">(C2/B2)-1</f>
        <v>0.96581018449598566</v>
      </c>
      <c r="D3" s="11">
        <f t="shared" si="0"/>
        <v>0.83150996834564328</v>
      </c>
      <c r="E3" s="11">
        <f t="shared" si="0"/>
        <v>0.66344892221180873</v>
      </c>
      <c r="F3" s="11">
        <f t="shared" si="0"/>
        <v>0.70479198496684159</v>
      </c>
      <c r="G3" s="11">
        <f t="shared" si="0"/>
        <v>0.62823294296956411</v>
      </c>
      <c r="H3" s="11">
        <f t="shared" si="0"/>
        <v>0.13253298310548622</v>
      </c>
      <c r="I3" s="11"/>
      <c r="J3" s="11">
        <f t="shared" si="0"/>
        <v>7.5288695241825909E-2</v>
      </c>
      <c r="K3" s="11">
        <f t="shared" si="0"/>
        <v>2.6235675832287697E-2</v>
      </c>
      <c r="L3" s="11">
        <f t="shared" si="0"/>
        <v>5.7598492051300187E-2</v>
      </c>
    </row>
    <row r="4" spans="1:12" ht="16" x14ac:dyDescent="0.2">
      <c r="A4" s="3" t="s">
        <v>12</v>
      </c>
      <c r="B4" s="4">
        <v>100761000</v>
      </c>
      <c r="C4" s="4">
        <v>198077000</v>
      </c>
      <c r="D4" s="4">
        <v>362780000</v>
      </c>
      <c r="E4" s="4">
        <v>603466000</v>
      </c>
      <c r="F4" s="4">
        <v>1028784000</v>
      </c>
      <c r="G4" s="4">
        <v>1675100000</v>
      </c>
      <c r="H4" s="5">
        <v>1897106000</v>
      </c>
      <c r="I4" s="4">
        <v>436533000</v>
      </c>
      <c r="J4" s="4">
        <v>469399000</v>
      </c>
      <c r="K4" s="4">
        <v>481714000</v>
      </c>
      <c r="L4" s="4">
        <v>509460000</v>
      </c>
    </row>
    <row r="5" spans="1:12" ht="16" x14ac:dyDescent="0.2">
      <c r="A5" s="3" t="s">
        <v>13</v>
      </c>
      <c r="B5" s="4">
        <v>23414000</v>
      </c>
      <c r="C5" s="4">
        <v>46529000</v>
      </c>
      <c r="D5" s="4">
        <v>88949000</v>
      </c>
      <c r="E5" s="4">
        <v>130197000</v>
      </c>
      <c r="F5" s="4">
        <v>234245000</v>
      </c>
      <c r="G5" s="4">
        <v>346743000</v>
      </c>
      <c r="H5" s="5">
        <v>392116000</v>
      </c>
      <c r="I5" s="4">
        <v>93599000</v>
      </c>
      <c r="J5" s="4">
        <v>96757000</v>
      </c>
      <c r="K5" s="4">
        <v>99914000</v>
      </c>
      <c r="L5" s="4">
        <v>101846000</v>
      </c>
    </row>
    <row r="6" spans="1:12" ht="16" x14ac:dyDescent="0.2">
      <c r="A6" s="3" t="s">
        <v>14</v>
      </c>
      <c r="B6" s="4">
        <v>23414000</v>
      </c>
      <c r="C6" s="4">
        <v>46529000</v>
      </c>
      <c r="D6" s="4">
        <v>88949000</v>
      </c>
      <c r="E6" s="4">
        <v>130197000</v>
      </c>
      <c r="F6" s="4">
        <v>234245000</v>
      </c>
      <c r="G6" s="4">
        <v>346743000</v>
      </c>
      <c r="H6" s="5">
        <v>392116000</v>
      </c>
      <c r="I6" s="4">
        <v>93599000</v>
      </c>
      <c r="J6" s="4">
        <v>96757000</v>
      </c>
      <c r="K6" s="4">
        <v>99914000</v>
      </c>
      <c r="L6" s="4">
        <v>101846000</v>
      </c>
    </row>
    <row r="7" spans="1:12" ht="16" x14ac:dyDescent="0.2">
      <c r="A7" s="30" t="s">
        <v>15</v>
      </c>
      <c r="B7" s="26">
        <v>77347000</v>
      </c>
      <c r="C7" s="26">
        <v>151548000</v>
      </c>
      <c r="D7" s="26">
        <v>273831000</v>
      </c>
      <c r="E7" s="26">
        <v>473269000</v>
      </c>
      <c r="F7" s="26">
        <v>794539000</v>
      </c>
      <c r="G7" s="26">
        <v>1328357000</v>
      </c>
      <c r="H7" s="27">
        <v>1504990000</v>
      </c>
      <c r="I7" s="26">
        <v>342934000</v>
      </c>
      <c r="J7" s="26">
        <v>372642000</v>
      </c>
      <c r="K7" s="26">
        <v>381800000</v>
      </c>
      <c r="L7" s="26">
        <v>407614000</v>
      </c>
    </row>
    <row r="8" spans="1:12" ht="16" x14ac:dyDescent="0.2">
      <c r="A8" s="25" t="s">
        <v>51</v>
      </c>
      <c r="B8" s="28">
        <v>76.760000000000005</v>
      </c>
      <c r="C8" s="28">
        <v>76.510000000000005</v>
      </c>
      <c r="D8" s="28">
        <v>75.48</v>
      </c>
      <c r="E8" s="28">
        <v>78.430000000000007</v>
      </c>
      <c r="F8" s="28">
        <v>77.23</v>
      </c>
      <c r="G8" s="28">
        <v>79.3</v>
      </c>
      <c r="H8" s="29">
        <v>79.33</v>
      </c>
      <c r="I8" s="28">
        <v>78.56</v>
      </c>
      <c r="J8" s="28">
        <v>79.39</v>
      </c>
      <c r="K8" s="28">
        <v>79.260000000000005</v>
      </c>
      <c r="L8" s="28">
        <v>80.010000000000005</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80303000</v>
      </c>
      <c r="C10" s="4">
        <v>162581000</v>
      </c>
      <c r="D10" s="4">
        <v>293971000</v>
      </c>
      <c r="E10" s="4">
        <v>487042000</v>
      </c>
      <c r="F10" s="4">
        <v>813695000</v>
      </c>
      <c r="G10" s="4">
        <v>1387052000</v>
      </c>
      <c r="H10" s="5">
        <v>1627936000</v>
      </c>
      <c r="I10" s="4">
        <v>374276000</v>
      </c>
      <c r="J10" s="4">
        <v>407270000</v>
      </c>
      <c r="K10" s="4">
        <v>416770000</v>
      </c>
      <c r="L10" s="4">
        <v>429620000</v>
      </c>
    </row>
    <row r="11" spans="1:12" ht="16" x14ac:dyDescent="0.2">
      <c r="A11" s="25" t="s">
        <v>19</v>
      </c>
      <c r="B11" s="26">
        <v>55569000</v>
      </c>
      <c r="C11" s="26">
        <v>107405000</v>
      </c>
      <c r="D11" s="26">
        <v>182546000</v>
      </c>
      <c r="E11" s="26">
        <v>276416000</v>
      </c>
      <c r="F11" s="26">
        <v>393926000</v>
      </c>
      <c r="G11" s="26">
        <v>634701000</v>
      </c>
      <c r="H11" s="27">
        <v>734920000</v>
      </c>
      <c r="I11" s="26">
        <v>168888000</v>
      </c>
      <c r="J11" s="26">
        <v>188614000</v>
      </c>
      <c r="K11" s="26">
        <v>187292000</v>
      </c>
      <c r="L11" s="26">
        <v>190126000</v>
      </c>
    </row>
    <row r="12" spans="1:12" ht="16" x14ac:dyDescent="0.2">
      <c r="A12" s="12" t="s">
        <v>185</v>
      </c>
      <c r="B12" s="11">
        <f t="shared" ref="B12:L12" si="1">B11/B2</f>
        <v>0.55149313722571236</v>
      </c>
      <c r="C12" s="11">
        <f t="shared" si="1"/>
        <v>0.5422386243733498</v>
      </c>
      <c r="D12" s="11">
        <f t="shared" si="1"/>
        <v>0.50318650421743205</v>
      </c>
      <c r="E12" s="11">
        <f t="shared" si="1"/>
        <v>0.45804734649508011</v>
      </c>
      <c r="F12" s="11">
        <f t="shared" si="1"/>
        <v>0.38290447751909051</v>
      </c>
      <c r="G12" s="11">
        <f t="shared" si="1"/>
        <v>0.37890334905378781</v>
      </c>
      <c r="H12" s="11">
        <f t="shared" si="1"/>
        <v>0.3873900562224778</v>
      </c>
      <c r="I12" s="11">
        <f t="shared" si="1"/>
        <v>0.38688484032135029</v>
      </c>
      <c r="J12" s="11">
        <f t="shared" si="1"/>
        <v>0.40182019987260303</v>
      </c>
      <c r="K12" s="11">
        <f t="shared" si="1"/>
        <v>0.38880331482996133</v>
      </c>
      <c r="L12" s="11">
        <f t="shared" si="1"/>
        <v>0.37319122207827898</v>
      </c>
    </row>
    <row r="13" spans="1:12" ht="16" x14ac:dyDescent="0.2">
      <c r="A13" s="25" t="s">
        <v>20</v>
      </c>
      <c r="B13" s="26">
        <v>24734000</v>
      </c>
      <c r="C13" s="26">
        <v>55176000</v>
      </c>
      <c r="D13" s="26">
        <v>111425000</v>
      </c>
      <c r="E13" s="26">
        <v>210626000</v>
      </c>
      <c r="F13" s="26">
        <v>419769000</v>
      </c>
      <c r="G13" s="26">
        <v>752351000</v>
      </c>
      <c r="H13" s="27">
        <v>893016000</v>
      </c>
      <c r="I13" s="26">
        <v>205388000</v>
      </c>
      <c r="J13" s="26">
        <v>218656000</v>
      </c>
      <c r="K13" s="26">
        <v>229478000</v>
      </c>
      <c r="L13" s="26">
        <v>239494000</v>
      </c>
    </row>
    <row r="14" spans="1:12" ht="16" x14ac:dyDescent="0.2">
      <c r="A14" s="12" t="s">
        <v>186</v>
      </c>
      <c r="B14" s="11">
        <f t="shared" ref="B14:L14" si="2">B13/B2</f>
        <v>0.24547195839660185</v>
      </c>
      <c r="C14" s="11">
        <f t="shared" si="2"/>
        <v>0.27855833842394623</v>
      </c>
      <c r="D14" s="11">
        <f t="shared" si="2"/>
        <v>0.30714206957384643</v>
      </c>
      <c r="E14" s="11">
        <f t="shared" si="2"/>
        <v>0.34902712000344677</v>
      </c>
      <c r="F14" s="11">
        <f t="shared" si="2"/>
        <v>0.40802442495217656</v>
      </c>
      <c r="G14" s="11">
        <f t="shared" si="2"/>
        <v>0.44913796191272165</v>
      </c>
      <c r="H14" s="11">
        <f t="shared" si="2"/>
        <v>0.4707254101773965</v>
      </c>
      <c r="I14" s="11">
        <f t="shared" si="2"/>
        <v>0.47049822121122575</v>
      </c>
      <c r="J14" s="11">
        <f t="shared" si="2"/>
        <v>0.46582118837066122</v>
      </c>
      <c r="K14" s="11">
        <f t="shared" si="2"/>
        <v>0.47637809986838664</v>
      </c>
      <c r="L14" s="11">
        <f t="shared" si="2"/>
        <v>0.47009382483413809</v>
      </c>
    </row>
    <row r="15" spans="1:12" ht="16" x14ac:dyDescent="0.2">
      <c r="A15" s="3" t="s">
        <v>21</v>
      </c>
      <c r="B15" s="4" t="s">
        <v>17</v>
      </c>
      <c r="C15" s="4" t="s">
        <v>17</v>
      </c>
      <c r="D15" s="4" t="s">
        <v>17</v>
      </c>
      <c r="E15" s="4" t="s">
        <v>17</v>
      </c>
      <c r="F15" s="4" t="s">
        <v>17</v>
      </c>
      <c r="G15" s="4" t="s">
        <v>17</v>
      </c>
      <c r="H15" s="5" t="s">
        <v>17</v>
      </c>
      <c r="I15" s="4" t="s">
        <v>17</v>
      </c>
      <c r="J15" s="4" t="s">
        <v>17</v>
      </c>
      <c r="K15" s="4" t="s">
        <v>17</v>
      </c>
      <c r="L15" s="4" t="s">
        <v>17</v>
      </c>
    </row>
    <row r="16" spans="1:12" ht="16" x14ac:dyDescent="0.2">
      <c r="A16" s="30" t="s">
        <v>22</v>
      </c>
      <c r="B16" s="26">
        <v>-2956000</v>
      </c>
      <c r="C16" s="26">
        <v>-11033000</v>
      </c>
      <c r="D16" s="26">
        <v>-20140000</v>
      </c>
      <c r="E16" s="26">
        <v>-13773000</v>
      </c>
      <c r="F16" s="26">
        <v>-19156000</v>
      </c>
      <c r="G16" s="26">
        <v>-58695000</v>
      </c>
      <c r="H16" s="27">
        <v>-122946000</v>
      </c>
      <c r="I16" s="26">
        <v>-31342000</v>
      </c>
      <c r="J16" s="26">
        <v>-34628000</v>
      </c>
      <c r="K16" s="26">
        <v>-34970000</v>
      </c>
      <c r="L16" s="26">
        <v>-22006000</v>
      </c>
    </row>
    <row r="17" spans="1:12" ht="16" x14ac:dyDescent="0.2">
      <c r="A17" s="25" t="s">
        <v>52</v>
      </c>
      <c r="B17" s="28">
        <v>-2.93</v>
      </c>
      <c r="C17" s="28">
        <v>-5.57</v>
      </c>
      <c r="D17" s="28">
        <v>-5.55</v>
      </c>
      <c r="E17" s="28">
        <v>-2.2799999999999998</v>
      </c>
      <c r="F17" s="28">
        <v>-1.86</v>
      </c>
      <c r="G17" s="28">
        <v>-3.5</v>
      </c>
      <c r="H17" s="29">
        <v>-6.48</v>
      </c>
      <c r="I17" s="28">
        <v>-7.18</v>
      </c>
      <c r="J17" s="28">
        <v>-7.38</v>
      </c>
      <c r="K17" s="28">
        <v>-7.26</v>
      </c>
      <c r="L17" s="28">
        <v>-4.32</v>
      </c>
    </row>
    <row r="18" spans="1:12" ht="16" x14ac:dyDescent="0.2">
      <c r="A18" s="13" t="s">
        <v>187</v>
      </c>
      <c r="B18" s="10"/>
      <c r="C18" s="11">
        <f>(C16/B16)-1</f>
        <v>2.7324086603518269</v>
      </c>
      <c r="D18" s="11">
        <f>(D16/C16)-1</f>
        <v>0.82543279253149637</v>
      </c>
      <c r="E18" s="11">
        <f>(E16/D16)-1</f>
        <v>-0.31613704071499504</v>
      </c>
      <c r="F18" s="11">
        <f t="shared" ref="F18:L18" si="3">(F16/E16)-1</f>
        <v>0.39083714513904022</v>
      </c>
      <c r="G18" s="11">
        <f t="shared" si="3"/>
        <v>2.0640530382125704</v>
      </c>
      <c r="H18" s="11">
        <f t="shared" si="3"/>
        <v>1.0946588295425506</v>
      </c>
      <c r="I18" s="11"/>
      <c r="J18" s="11">
        <f t="shared" si="3"/>
        <v>0.10484334120349681</v>
      </c>
      <c r="K18" s="11">
        <f t="shared" si="3"/>
        <v>9.8764006006699656E-3</v>
      </c>
      <c r="L18" s="11">
        <f t="shared" si="3"/>
        <v>-0.37071775807835283</v>
      </c>
    </row>
    <row r="19" spans="1:12" ht="16" x14ac:dyDescent="0.2">
      <c r="A19" s="3" t="s">
        <v>23</v>
      </c>
      <c r="B19" s="4">
        <v>-843000</v>
      </c>
      <c r="C19" s="4">
        <v>-793000</v>
      </c>
      <c r="D19" s="4">
        <v>-4164000</v>
      </c>
      <c r="E19" s="4">
        <v>8449000</v>
      </c>
      <c r="F19" s="4">
        <v>-734000</v>
      </c>
      <c r="G19" s="4">
        <v>-20625000</v>
      </c>
      <c r="H19" s="5">
        <v>-52701000</v>
      </c>
      <c r="I19" s="4">
        <v>-8283000</v>
      </c>
      <c r="J19" s="4">
        <v>-8774000</v>
      </c>
      <c r="K19" s="4">
        <v>-14546000</v>
      </c>
      <c r="L19" s="4">
        <v>-21098000</v>
      </c>
    </row>
    <row r="20" spans="1:12" ht="16" x14ac:dyDescent="0.2">
      <c r="A20" s="3" t="s">
        <v>24</v>
      </c>
      <c r="B20" s="4" t="s">
        <v>17</v>
      </c>
      <c r="C20" s="4">
        <v>-913000</v>
      </c>
      <c r="D20" s="4">
        <v>-4142000</v>
      </c>
      <c r="E20" s="4">
        <v>8449000</v>
      </c>
      <c r="F20" s="4">
        <v>-734000</v>
      </c>
      <c r="G20" s="4">
        <v>-23994000</v>
      </c>
      <c r="H20" s="5">
        <v>-54388000</v>
      </c>
      <c r="I20" s="4">
        <v>-9126000</v>
      </c>
      <c r="J20" s="4">
        <v>-9618000</v>
      </c>
      <c r="K20" s="4">
        <v>-14546000</v>
      </c>
      <c r="L20" s="4">
        <v>-21098000</v>
      </c>
    </row>
    <row r="21" spans="1:12" ht="16" x14ac:dyDescent="0.2">
      <c r="A21" s="3" t="s">
        <v>25</v>
      </c>
      <c r="B21" s="4" t="s">
        <v>17</v>
      </c>
      <c r="C21" s="4" t="s">
        <v>17</v>
      </c>
      <c r="D21" s="4">
        <v>-32000</v>
      </c>
      <c r="E21" s="4">
        <v>30434000</v>
      </c>
      <c r="F21" s="4">
        <v>21052000</v>
      </c>
      <c r="G21" s="4">
        <v>13166000</v>
      </c>
      <c r="H21" s="5">
        <v>8767000</v>
      </c>
      <c r="I21" s="4">
        <v>2885000</v>
      </c>
      <c r="J21" s="4">
        <v>2175000</v>
      </c>
      <c r="K21" s="4">
        <v>2181000</v>
      </c>
      <c r="L21" s="4">
        <v>1526000</v>
      </c>
    </row>
    <row r="22" spans="1:12" ht="16" x14ac:dyDescent="0.2">
      <c r="A22" s="3" t="s">
        <v>26</v>
      </c>
      <c r="B22" s="4" t="s">
        <v>17</v>
      </c>
      <c r="C22" s="4">
        <v>913000</v>
      </c>
      <c r="D22" s="4">
        <v>4110000</v>
      </c>
      <c r="E22" s="4">
        <v>21985000</v>
      </c>
      <c r="F22" s="4">
        <v>21786000</v>
      </c>
      <c r="G22" s="4">
        <v>37160000</v>
      </c>
      <c r="H22" s="5">
        <v>63155000</v>
      </c>
      <c r="I22" s="4">
        <v>12011000</v>
      </c>
      <c r="J22" s="4">
        <v>11793000</v>
      </c>
      <c r="K22" s="4">
        <v>16727000</v>
      </c>
      <c r="L22" s="4">
        <v>22624000</v>
      </c>
    </row>
    <row r="23" spans="1:12" ht="16" x14ac:dyDescent="0.2">
      <c r="A23" s="3" t="s">
        <v>27</v>
      </c>
      <c r="B23" s="4">
        <v>-843000</v>
      </c>
      <c r="C23" s="4">
        <v>120000</v>
      </c>
      <c r="D23" s="4">
        <v>-22000</v>
      </c>
      <c r="E23" s="4" t="s">
        <v>17</v>
      </c>
      <c r="F23" s="4" t="s">
        <v>17</v>
      </c>
      <c r="G23" s="4">
        <v>3369000</v>
      </c>
      <c r="H23" s="5">
        <v>1687000</v>
      </c>
      <c r="I23" s="4">
        <v>843000</v>
      </c>
      <c r="J23" s="4">
        <v>844000</v>
      </c>
      <c r="K23" s="4" t="s">
        <v>17</v>
      </c>
      <c r="L23" s="4" t="s">
        <v>17</v>
      </c>
    </row>
    <row r="24" spans="1:12" ht="16" x14ac:dyDescent="0.2">
      <c r="A24" s="3" t="s">
        <v>28</v>
      </c>
      <c r="B24" s="4">
        <v>-2113000</v>
      </c>
      <c r="C24" s="4">
        <v>-10240000</v>
      </c>
      <c r="D24" s="4">
        <v>-15976000</v>
      </c>
      <c r="E24" s="4">
        <v>-22222000</v>
      </c>
      <c r="F24" s="4">
        <v>-18422000</v>
      </c>
      <c r="G24" s="4">
        <v>-38070000</v>
      </c>
      <c r="H24" s="5">
        <v>-70245000</v>
      </c>
      <c r="I24" s="4">
        <v>-23059000</v>
      </c>
      <c r="J24" s="4">
        <v>-25854000</v>
      </c>
      <c r="K24" s="4">
        <v>-20424000</v>
      </c>
      <c r="L24" s="4">
        <v>-908000</v>
      </c>
    </row>
    <row r="25" spans="1:12" ht="16" x14ac:dyDescent="0.2">
      <c r="A25" s="3" t="s">
        <v>29</v>
      </c>
      <c r="B25" s="4">
        <v>457000</v>
      </c>
      <c r="C25" s="4">
        <v>522000</v>
      </c>
      <c r="D25" s="4">
        <v>734000</v>
      </c>
      <c r="E25" s="4">
        <v>2325000</v>
      </c>
      <c r="F25" s="4">
        <v>2323000</v>
      </c>
      <c r="G25" s="4">
        <v>12090000</v>
      </c>
      <c r="H25" s="5">
        <v>12829000</v>
      </c>
      <c r="I25" s="4">
        <v>2926000</v>
      </c>
      <c r="J25" s="4">
        <v>3180000</v>
      </c>
      <c r="K25" s="4">
        <v>3662000</v>
      </c>
      <c r="L25" s="4">
        <v>3061000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-2570000</v>
      </c>
      <c r="C27" s="4">
        <v>-10762000</v>
      </c>
      <c r="D27" s="4">
        <v>-16710000</v>
      </c>
      <c r="E27" s="4">
        <v>-24547000</v>
      </c>
      <c r="F27" s="4">
        <v>-20745000</v>
      </c>
      <c r="G27" s="4">
        <v>-50160000</v>
      </c>
      <c r="H27" s="5">
        <v>-83074000</v>
      </c>
      <c r="I27" s="4">
        <v>-25985000</v>
      </c>
      <c r="J27" s="4">
        <v>-29034000</v>
      </c>
      <c r="K27" s="4">
        <v>-24086000</v>
      </c>
      <c r="L27" s="4">
        <v>-3969000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-2570000</v>
      </c>
      <c r="C31" s="4">
        <v>-10762000</v>
      </c>
      <c r="D31" s="4">
        <v>-16710000</v>
      </c>
      <c r="E31" s="4">
        <v>-24547000</v>
      </c>
      <c r="F31" s="4">
        <v>-20745000</v>
      </c>
      <c r="G31" s="4">
        <v>-50160000</v>
      </c>
      <c r="H31" s="5">
        <v>-83074000</v>
      </c>
      <c r="I31" s="4">
        <v>-25985000</v>
      </c>
      <c r="J31" s="4">
        <v>-29034000</v>
      </c>
      <c r="K31" s="4">
        <v>-24086000</v>
      </c>
      <c r="L31" s="4">
        <v>-3969000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30" t="s">
        <v>37</v>
      </c>
      <c r="B33" s="26">
        <v>-2570000</v>
      </c>
      <c r="C33" s="26">
        <v>-10762000</v>
      </c>
      <c r="D33" s="26">
        <v>-16710000</v>
      </c>
      <c r="E33" s="26">
        <v>-24547000</v>
      </c>
      <c r="F33" s="26">
        <v>-20745000</v>
      </c>
      <c r="G33" s="26">
        <v>-50160000</v>
      </c>
      <c r="H33" s="27">
        <v>-83074000</v>
      </c>
      <c r="I33" s="26">
        <v>-25985000</v>
      </c>
      <c r="J33" s="26">
        <v>-29034000</v>
      </c>
      <c r="K33" s="26">
        <v>-24086000</v>
      </c>
      <c r="L33" s="26">
        <v>-3969000</v>
      </c>
    </row>
    <row r="34" spans="1:12" ht="16" x14ac:dyDescent="0.2">
      <c r="A34" s="25" t="s">
        <v>53</v>
      </c>
      <c r="B34" s="28">
        <v>-2.5499999999999998</v>
      </c>
      <c r="C34" s="28">
        <v>-5.43</v>
      </c>
      <c r="D34" s="28">
        <v>-4.6100000000000003</v>
      </c>
      <c r="E34" s="28">
        <v>-4.07</v>
      </c>
      <c r="F34" s="28">
        <v>-2.02</v>
      </c>
      <c r="G34" s="28">
        <v>-2.99</v>
      </c>
      <c r="H34" s="29">
        <v>-4.38</v>
      </c>
      <c r="I34" s="28">
        <v>-5.95</v>
      </c>
      <c r="J34" s="28">
        <v>-6.19</v>
      </c>
      <c r="K34" s="26">
        <v>-5</v>
      </c>
      <c r="L34" s="28">
        <v>-0.78</v>
      </c>
    </row>
    <row r="35" spans="1:12" ht="16" x14ac:dyDescent="0.2">
      <c r="A35" s="14" t="s">
        <v>188</v>
      </c>
      <c r="B35" s="15"/>
      <c r="C35" s="16">
        <f>(C33/B33)-1</f>
        <v>3.1875486381322959</v>
      </c>
      <c r="D35" s="16">
        <f>(D33/C33)-1</f>
        <v>0.55268537446571275</v>
      </c>
      <c r="E35" s="16">
        <f>(E33/D33)-1</f>
        <v>0.46900059844404551</v>
      </c>
      <c r="F35" s="16">
        <f t="shared" ref="F35:L35" si="4">(F33/E33)-1</f>
        <v>-0.15488654418055159</v>
      </c>
      <c r="G35" s="16">
        <f t="shared" si="4"/>
        <v>1.4179320318148951</v>
      </c>
      <c r="H35" s="16">
        <f t="shared" si="4"/>
        <v>0.65618022328548653</v>
      </c>
      <c r="I35" s="16"/>
      <c r="J35" s="16">
        <f t="shared" si="4"/>
        <v>0.11733692514912453</v>
      </c>
      <c r="K35" s="16">
        <f t="shared" si="4"/>
        <v>-0.17042088585795967</v>
      </c>
      <c r="L35" s="16">
        <f t="shared" si="4"/>
        <v>-0.8352154778709624</v>
      </c>
    </row>
    <row r="36" spans="1:12" ht="16" x14ac:dyDescent="0.2">
      <c r="A36" s="17" t="s">
        <v>189</v>
      </c>
      <c r="B36" s="18" t="e">
        <f t="shared" ref="B36:L36" si="5">(B16*(1-0.25))/(B126+B105+B96)</f>
        <v>#VALUE!</v>
      </c>
      <c r="C36" s="18" t="e">
        <f t="shared" si="5"/>
        <v>#VALUE!</v>
      </c>
      <c r="D36" s="18">
        <f t="shared" si="5"/>
        <v>-1.7923103301386977E-2</v>
      </c>
      <c r="E36" s="18">
        <f t="shared" si="5"/>
        <v>-6.4518395682846624E-3</v>
      </c>
      <c r="F36" s="18">
        <f t="shared" si="5"/>
        <v>-7.7703645532486579E-3</v>
      </c>
      <c r="G36" s="18">
        <f t="shared" si="5"/>
        <v>-1.9582180099340488E-2</v>
      </c>
      <c r="H36" s="18">
        <f t="shared" si="5"/>
        <v>-3.6382550327626231E-2</v>
      </c>
      <c r="I36" s="18">
        <f t="shared" si="5"/>
        <v>-1.1056018760873644E-2</v>
      </c>
      <c r="J36" s="18">
        <f t="shared" si="5"/>
        <v>-1.1552802325240011E-2</v>
      </c>
      <c r="K36" s="18">
        <f t="shared" si="5"/>
        <v>-1.1120745580746513E-2</v>
      </c>
      <c r="L36" s="18">
        <f t="shared" si="5"/>
        <v>-6.5120817473504041E-3</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-2570000</v>
      </c>
      <c r="C39" s="4">
        <v>-10762000</v>
      </c>
      <c r="D39" s="4">
        <v>-16710000</v>
      </c>
      <c r="E39" s="4">
        <v>-24547000</v>
      </c>
      <c r="F39" s="4">
        <v>-20745000</v>
      </c>
      <c r="G39" s="4">
        <v>-50160000</v>
      </c>
      <c r="H39" s="5">
        <v>-83074000</v>
      </c>
      <c r="I39" s="4">
        <v>-25985000</v>
      </c>
      <c r="J39" s="4">
        <v>-29034000</v>
      </c>
      <c r="K39" s="4">
        <v>-24086000</v>
      </c>
      <c r="L39" s="4">
        <v>-3969000</v>
      </c>
    </row>
    <row r="40" spans="1:12" ht="16" x14ac:dyDescent="0.2">
      <c r="A40" s="3" t="s">
        <v>41</v>
      </c>
      <c r="B40" s="4">
        <v>79566000</v>
      </c>
      <c r="C40" s="4">
        <v>70951000</v>
      </c>
      <c r="D40" s="4">
        <v>139873000</v>
      </c>
      <c r="E40" s="4">
        <v>300350000</v>
      </c>
      <c r="F40" s="4">
        <v>309048000</v>
      </c>
      <c r="G40" s="4">
        <v>315410000</v>
      </c>
      <c r="H40" s="5">
        <v>318718000</v>
      </c>
      <c r="I40" s="4">
        <v>315990000</v>
      </c>
      <c r="J40" s="4">
        <v>317381000</v>
      </c>
      <c r="K40" s="4">
        <v>319286000</v>
      </c>
      <c r="L40" s="4">
        <v>322215000</v>
      </c>
    </row>
    <row r="41" spans="1:12" ht="16" x14ac:dyDescent="0.2">
      <c r="A41" s="3" t="s">
        <v>42</v>
      </c>
      <c r="B41" s="6">
        <v>-0.03</v>
      </c>
      <c r="C41" s="6">
        <v>-0.15</v>
      </c>
      <c r="D41" s="6">
        <v>-0.12</v>
      </c>
      <c r="E41" s="6">
        <v>-0.08</v>
      </c>
      <c r="F41" s="6">
        <v>-7.0000000000000007E-2</v>
      </c>
      <c r="G41" s="6">
        <v>-0.16</v>
      </c>
      <c r="H41" s="7">
        <v>-0.26</v>
      </c>
      <c r="I41" s="6">
        <v>-0.08</v>
      </c>
      <c r="J41" s="6">
        <v>-0.09</v>
      </c>
      <c r="K41" s="6">
        <v>-0.08</v>
      </c>
      <c r="L41" s="6">
        <v>-0.01</v>
      </c>
    </row>
    <row r="42" spans="1:12" ht="16" x14ac:dyDescent="0.2">
      <c r="A42" s="3" t="s">
        <v>43</v>
      </c>
      <c r="B42" s="6">
        <v>-0.03</v>
      </c>
      <c r="C42" s="6">
        <v>-0.15</v>
      </c>
      <c r="D42" s="6">
        <v>-0.12</v>
      </c>
      <c r="E42" s="6">
        <v>-0.08</v>
      </c>
      <c r="F42" s="6">
        <v>-7.0000000000000007E-2</v>
      </c>
      <c r="G42" s="6">
        <v>-0.16</v>
      </c>
      <c r="H42" s="7">
        <v>-0.26</v>
      </c>
      <c r="I42" s="6">
        <v>-0.08</v>
      </c>
      <c r="J42" s="6">
        <v>-0.09</v>
      </c>
      <c r="K42" s="6">
        <v>-0.08</v>
      </c>
      <c r="L42" s="6">
        <v>-0.01</v>
      </c>
    </row>
    <row r="43" spans="1:12" ht="16" x14ac:dyDescent="0.2">
      <c r="A43" s="3" t="s">
        <v>44</v>
      </c>
      <c r="B43" s="4">
        <v>79566000</v>
      </c>
      <c r="C43" s="4">
        <v>70951000</v>
      </c>
      <c r="D43" s="4">
        <v>139873000</v>
      </c>
      <c r="E43" s="4">
        <v>300350000</v>
      </c>
      <c r="F43" s="4">
        <v>309048000</v>
      </c>
      <c r="G43" s="4">
        <v>315410000</v>
      </c>
      <c r="H43" s="5">
        <v>318718000</v>
      </c>
      <c r="I43" s="4">
        <v>315990000</v>
      </c>
      <c r="J43" s="4">
        <v>317381000</v>
      </c>
      <c r="K43" s="4">
        <v>319286000</v>
      </c>
      <c r="L43" s="4">
        <v>322215000</v>
      </c>
    </row>
    <row r="44" spans="1:12" ht="16" x14ac:dyDescent="0.2">
      <c r="A44" s="3" t="s">
        <v>45</v>
      </c>
      <c r="B44" s="6">
        <v>-0.03</v>
      </c>
      <c r="C44" s="6">
        <v>-0.15</v>
      </c>
      <c r="D44" s="6">
        <v>-0.12</v>
      </c>
      <c r="E44" s="6">
        <v>-0.08</v>
      </c>
      <c r="F44" s="6">
        <v>-7.0000000000000007E-2</v>
      </c>
      <c r="G44" s="6">
        <v>-0.16</v>
      </c>
      <c r="H44" s="7">
        <v>-0.26</v>
      </c>
      <c r="I44" s="6">
        <v>-0.08</v>
      </c>
      <c r="J44" s="6">
        <v>-0.09</v>
      </c>
      <c r="K44" s="6">
        <v>-0.08</v>
      </c>
      <c r="L44" s="6">
        <v>-0.01</v>
      </c>
    </row>
    <row r="45" spans="1:12" ht="16" x14ac:dyDescent="0.2">
      <c r="A45" s="3" t="s">
        <v>46</v>
      </c>
      <c r="B45" s="6">
        <v>-0.03</v>
      </c>
      <c r="C45" s="6">
        <v>-0.15</v>
      </c>
      <c r="D45" s="6">
        <v>-0.12</v>
      </c>
      <c r="E45" s="6">
        <v>-0.08</v>
      </c>
      <c r="F45" s="6">
        <v>-7.0000000000000007E-2</v>
      </c>
      <c r="G45" s="6">
        <v>-0.16</v>
      </c>
      <c r="H45" s="7">
        <v>-0.26</v>
      </c>
      <c r="I45" s="6">
        <v>-0.08</v>
      </c>
      <c r="J45" s="6">
        <v>-0.09</v>
      </c>
      <c r="K45" s="6">
        <v>-0.08</v>
      </c>
      <c r="L45" s="6">
        <v>-0.01</v>
      </c>
    </row>
    <row r="46" spans="1:12" ht="16" x14ac:dyDescent="0.2">
      <c r="A46" s="3" t="s">
        <v>47</v>
      </c>
      <c r="B46" s="4">
        <v>-252000</v>
      </c>
      <c r="C46" s="4">
        <v>-5007000</v>
      </c>
      <c r="D46" s="4">
        <v>-7770000</v>
      </c>
      <c r="E46" s="4">
        <v>1677000</v>
      </c>
      <c r="F46" s="4">
        <v>3782000</v>
      </c>
      <c r="G46" s="4">
        <v>-24066000</v>
      </c>
      <c r="H46" s="5">
        <v>-83004000</v>
      </c>
      <c r="I46" s="4">
        <v>-22029000</v>
      </c>
      <c r="J46" s="4">
        <v>-24824000</v>
      </c>
      <c r="K46" s="4">
        <v>-24695000</v>
      </c>
      <c r="L46" s="4">
        <v>-11456000</v>
      </c>
    </row>
    <row r="47" spans="1:12" ht="16" x14ac:dyDescent="0.2">
      <c r="A47" s="3" t="s">
        <v>48</v>
      </c>
      <c r="B47" s="6">
        <v>-0.25</v>
      </c>
      <c r="C47" s="6">
        <v>-2.5299999999999998</v>
      </c>
      <c r="D47" s="6">
        <v>-2.14</v>
      </c>
      <c r="E47" s="6">
        <v>0.28000000000000003</v>
      </c>
      <c r="F47" s="6">
        <v>0.37</v>
      </c>
      <c r="G47" s="6">
        <v>-1.44</v>
      </c>
      <c r="H47" s="7">
        <v>-4.38</v>
      </c>
      <c r="I47" s="6">
        <v>1.05</v>
      </c>
      <c r="J47" s="6">
        <v>-1.44</v>
      </c>
      <c r="K47" s="6">
        <v>-3.71</v>
      </c>
      <c r="L47" s="6">
        <v>-4.38</v>
      </c>
    </row>
    <row r="48" spans="1:12" ht="16" x14ac:dyDescent="0.2">
      <c r="A48" s="3" t="s">
        <v>49</v>
      </c>
      <c r="B48" s="4">
        <v>-2956000</v>
      </c>
      <c r="C48" s="4">
        <v>-11033000</v>
      </c>
      <c r="D48" s="4">
        <v>-20140000</v>
      </c>
      <c r="E48" s="4">
        <v>-13773000</v>
      </c>
      <c r="F48" s="4">
        <v>-19156000</v>
      </c>
      <c r="G48" s="4">
        <v>-58695000</v>
      </c>
      <c r="H48" s="5">
        <v>-122946000</v>
      </c>
      <c r="I48" s="4">
        <v>-31342000</v>
      </c>
      <c r="J48" s="4">
        <v>-34628000</v>
      </c>
      <c r="K48" s="4">
        <v>-34970000</v>
      </c>
      <c r="L48" s="4">
        <v>-22006000</v>
      </c>
    </row>
    <row r="49" spans="1:12" ht="16" x14ac:dyDescent="0.2">
      <c r="A49" s="3" t="s">
        <v>50</v>
      </c>
      <c r="B49" s="4">
        <v>-2956000</v>
      </c>
      <c r="C49" s="4">
        <v>-11033000</v>
      </c>
      <c r="D49" s="4">
        <v>-20140000</v>
      </c>
      <c r="E49" s="4">
        <v>-13773000</v>
      </c>
      <c r="F49" s="4">
        <v>-19156000</v>
      </c>
      <c r="G49" s="4">
        <v>-58695000</v>
      </c>
      <c r="H49" s="5">
        <v>-122946000</v>
      </c>
      <c r="I49" s="4">
        <v>-31342000</v>
      </c>
      <c r="J49" s="4">
        <v>-34628000</v>
      </c>
      <c r="K49" s="4">
        <v>-34970000</v>
      </c>
      <c r="L49" s="4">
        <v>-22006000</v>
      </c>
    </row>
    <row r="50" spans="1:12" ht="16" x14ac:dyDescent="0.2">
      <c r="A50" s="3" t="s">
        <v>54</v>
      </c>
      <c r="B50" s="4" t="s">
        <v>17</v>
      </c>
      <c r="C50" s="4" t="s">
        <v>17</v>
      </c>
      <c r="D50" s="4">
        <v>258574</v>
      </c>
      <c r="E50" s="4">
        <v>276186</v>
      </c>
      <c r="F50" s="4">
        <v>321495</v>
      </c>
      <c r="G50" s="4">
        <v>348979</v>
      </c>
      <c r="H50" s="5">
        <v>395230</v>
      </c>
      <c r="I50" s="4">
        <v>136417</v>
      </c>
      <c r="J50" s="4">
        <v>97791</v>
      </c>
      <c r="K50" s="4">
        <v>100357</v>
      </c>
      <c r="L50" s="4">
        <v>106138</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2704000</v>
      </c>
      <c r="C52" s="4">
        <v>6026000</v>
      </c>
      <c r="D52" s="4">
        <v>12370000</v>
      </c>
      <c r="E52" s="4">
        <v>15450000</v>
      </c>
      <c r="F52" s="4">
        <v>22938000</v>
      </c>
      <c r="G52" s="4">
        <v>34629000</v>
      </c>
      <c r="H52" s="5">
        <v>39942000</v>
      </c>
      <c r="I52" s="4">
        <v>9313000</v>
      </c>
      <c r="J52" s="4">
        <v>9804000</v>
      </c>
      <c r="K52" s="4">
        <v>10275000</v>
      </c>
      <c r="L52" s="4">
        <v>10550000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v>100419000</v>
      </c>
      <c r="C55" s="4">
        <v>121951000</v>
      </c>
      <c r="D55" s="4">
        <v>903942000</v>
      </c>
      <c r="E55" s="4">
        <v>1718080000</v>
      </c>
      <c r="F55" s="4">
        <v>1870948000</v>
      </c>
      <c r="G55" s="4">
        <v>2344234000</v>
      </c>
      <c r="H55" s="5">
        <v>2600070000</v>
      </c>
      <c r="I55" s="4">
        <v>2176569000</v>
      </c>
      <c r="J55" s="4">
        <v>2344234000</v>
      </c>
      <c r="K55" s="4">
        <v>2462992000</v>
      </c>
      <c r="L55" s="4">
        <v>2600070000</v>
      </c>
    </row>
    <row r="56" spans="1:12" ht="16" x14ac:dyDescent="0.2">
      <c r="A56" s="3" t="s">
        <v>58</v>
      </c>
      <c r="B56" s="4">
        <v>60024000</v>
      </c>
      <c r="C56" s="4">
        <v>53639000</v>
      </c>
      <c r="D56" s="4">
        <v>773971000</v>
      </c>
      <c r="E56" s="4">
        <v>1517459000</v>
      </c>
      <c r="F56" s="4">
        <v>1554446000</v>
      </c>
      <c r="G56" s="4">
        <v>1884326000</v>
      </c>
      <c r="H56" s="5">
        <v>2185362000</v>
      </c>
      <c r="I56" s="4">
        <v>1766263000</v>
      </c>
      <c r="J56" s="4">
        <v>1884326000</v>
      </c>
      <c r="K56" s="4">
        <v>2017890000</v>
      </c>
      <c r="L56" s="4">
        <v>2185362000</v>
      </c>
    </row>
    <row r="57" spans="1:12" ht="16" x14ac:dyDescent="0.2">
      <c r="A57" s="3" t="s">
        <v>59</v>
      </c>
      <c r="B57" s="4">
        <v>60024000</v>
      </c>
      <c r="C57" s="4">
        <v>53639000</v>
      </c>
      <c r="D57" s="4">
        <v>597297000</v>
      </c>
      <c r="E57" s="4">
        <v>224927000</v>
      </c>
      <c r="F57" s="4">
        <v>270973000</v>
      </c>
      <c r="G57" s="4">
        <v>338985000</v>
      </c>
      <c r="H57" s="5">
        <v>291304000</v>
      </c>
      <c r="I57" s="4">
        <v>294815000</v>
      </c>
      <c r="J57" s="4">
        <v>338985000</v>
      </c>
      <c r="K57" s="4">
        <v>222548000</v>
      </c>
      <c r="L57" s="4">
        <v>291304000</v>
      </c>
    </row>
    <row r="58" spans="1:12" ht="16" x14ac:dyDescent="0.2">
      <c r="A58" s="3" t="s">
        <v>60</v>
      </c>
      <c r="B58" s="4" t="s">
        <v>17</v>
      </c>
      <c r="C58" s="4" t="s">
        <v>17</v>
      </c>
      <c r="D58" s="4">
        <v>176674000</v>
      </c>
      <c r="E58" s="4">
        <v>1292532000</v>
      </c>
      <c r="F58" s="4">
        <v>1283473000</v>
      </c>
      <c r="G58" s="4">
        <v>1545341000</v>
      </c>
      <c r="H58" s="5">
        <v>1894058000</v>
      </c>
      <c r="I58" s="4">
        <v>1471448000</v>
      </c>
      <c r="J58" s="4">
        <v>1545341000</v>
      </c>
      <c r="K58" s="4">
        <v>1795342000</v>
      </c>
      <c r="L58" s="4">
        <v>1894058000</v>
      </c>
    </row>
    <row r="59" spans="1:12" ht="16" x14ac:dyDescent="0.2">
      <c r="A59" s="3" t="s">
        <v>61</v>
      </c>
      <c r="B59" s="4">
        <v>32853000</v>
      </c>
      <c r="C59" s="4">
        <v>56348000</v>
      </c>
      <c r="D59" s="4">
        <v>102394000</v>
      </c>
      <c r="E59" s="4">
        <v>163359000</v>
      </c>
      <c r="F59" s="4">
        <v>268824000</v>
      </c>
      <c r="G59" s="4">
        <v>399551000</v>
      </c>
      <c r="H59" s="5">
        <v>333102000</v>
      </c>
      <c r="I59" s="4">
        <v>348830000</v>
      </c>
      <c r="J59" s="4">
        <v>399551000</v>
      </c>
      <c r="K59" s="4">
        <v>367046000</v>
      </c>
      <c r="L59" s="4">
        <v>333102000</v>
      </c>
    </row>
    <row r="60" spans="1:12" ht="16" x14ac:dyDescent="0.2">
      <c r="A60" s="3" t="s">
        <v>62</v>
      </c>
      <c r="B60" s="4">
        <v>30957000</v>
      </c>
      <c r="C60" s="4">
        <v>55822000</v>
      </c>
      <c r="D60" s="4">
        <v>102394000</v>
      </c>
      <c r="E60" s="4">
        <v>163359000</v>
      </c>
      <c r="F60" s="4">
        <v>268824000</v>
      </c>
      <c r="G60" s="4">
        <v>399551000</v>
      </c>
      <c r="H60" s="5">
        <v>333102000</v>
      </c>
      <c r="I60" s="4">
        <v>348830000</v>
      </c>
      <c r="J60" s="4">
        <v>399551000</v>
      </c>
      <c r="K60" s="4">
        <v>367046000</v>
      </c>
      <c r="L60" s="4">
        <v>333102000</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v>1896000</v>
      </c>
      <c r="C63" s="4">
        <v>526000</v>
      </c>
      <c r="D63" s="4" t="s">
        <v>17</v>
      </c>
      <c r="E63" s="4" t="s">
        <v>17</v>
      </c>
      <c r="F63" s="4" t="s">
        <v>17</v>
      </c>
      <c r="G63" s="4" t="s">
        <v>17</v>
      </c>
      <c r="H63" s="5" t="s">
        <v>17</v>
      </c>
      <c r="I63" s="4" t="s">
        <v>17</v>
      </c>
      <c r="J63" s="4" t="s">
        <v>17</v>
      </c>
      <c r="K63" s="4" t="s">
        <v>17</v>
      </c>
      <c r="L63" s="4" t="s">
        <v>17</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v>7542000</v>
      </c>
      <c r="C70" s="4">
        <v>11964000</v>
      </c>
      <c r="D70" s="4">
        <v>27577000</v>
      </c>
      <c r="E70" s="4">
        <v>37262000</v>
      </c>
      <c r="F70" s="4">
        <v>47678000</v>
      </c>
      <c r="G70" s="4">
        <v>60357000</v>
      </c>
      <c r="H70" s="5">
        <v>81606000</v>
      </c>
      <c r="I70" s="4">
        <v>61476000</v>
      </c>
      <c r="J70" s="4">
        <v>60357000</v>
      </c>
      <c r="K70" s="4">
        <v>78056000</v>
      </c>
      <c r="L70" s="4">
        <v>81606000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v>26643000</v>
      </c>
      <c r="C76" s="4">
        <v>57799000</v>
      </c>
      <c r="D76" s="4">
        <v>134099000</v>
      </c>
      <c r="E76" s="4">
        <v>172205000</v>
      </c>
      <c r="F76" s="4">
        <v>509846000</v>
      </c>
      <c r="G76" s="4">
        <v>660618000</v>
      </c>
      <c r="H76" s="5">
        <v>712103000</v>
      </c>
      <c r="I76" s="4">
        <v>621034000</v>
      </c>
      <c r="J76" s="4">
        <v>660618000</v>
      </c>
      <c r="K76" s="4">
        <v>676752000</v>
      </c>
      <c r="L76" s="4">
        <v>712103000</v>
      </c>
    </row>
    <row r="77" spans="1:12" ht="16" x14ac:dyDescent="0.2">
      <c r="A77" s="3" t="s">
        <v>79</v>
      </c>
      <c r="B77" s="4">
        <v>11121000</v>
      </c>
      <c r="C77" s="4">
        <v>21649000</v>
      </c>
      <c r="D77" s="4">
        <v>65013000</v>
      </c>
      <c r="E77" s="4">
        <v>69505000</v>
      </c>
      <c r="F77" s="4">
        <v>81321000</v>
      </c>
      <c r="G77" s="4">
        <v>129057000</v>
      </c>
      <c r="H77" s="5">
        <v>163849000</v>
      </c>
      <c r="I77" s="4">
        <v>122977000</v>
      </c>
      <c r="J77" s="4">
        <v>129057000</v>
      </c>
      <c r="K77" s="4">
        <v>140112000</v>
      </c>
      <c r="L77" s="4">
        <v>163849000</v>
      </c>
    </row>
    <row r="78" spans="1:12" ht="16" x14ac:dyDescent="0.2">
      <c r="A78" s="3" t="s">
        <v>80</v>
      </c>
      <c r="B78" s="4">
        <v>14649000</v>
      </c>
      <c r="C78" s="4">
        <v>30715000</v>
      </c>
      <c r="D78" s="4">
        <v>85751000</v>
      </c>
      <c r="E78" s="4">
        <v>105026000</v>
      </c>
      <c r="F78" s="4">
        <v>136507000</v>
      </c>
      <c r="G78" s="4">
        <v>212975000</v>
      </c>
      <c r="H78" s="5">
        <v>267298000</v>
      </c>
      <c r="I78" s="4">
        <v>199819000</v>
      </c>
      <c r="J78" s="4">
        <v>212975000</v>
      </c>
      <c r="K78" s="4">
        <v>233123000</v>
      </c>
      <c r="L78" s="4">
        <v>267298000</v>
      </c>
    </row>
    <row r="79" spans="1:12" ht="16" x14ac:dyDescent="0.2">
      <c r="A79" s="3" t="s">
        <v>81</v>
      </c>
      <c r="B79" s="4">
        <v>3528000</v>
      </c>
      <c r="C79" s="4">
        <v>9066000</v>
      </c>
      <c r="D79" s="4">
        <v>20738000</v>
      </c>
      <c r="E79" s="4">
        <v>35521000</v>
      </c>
      <c r="F79" s="4">
        <v>55186000</v>
      </c>
      <c r="G79" s="4">
        <v>83918000</v>
      </c>
      <c r="H79" s="5">
        <v>103449000</v>
      </c>
      <c r="I79" s="4">
        <v>76842000</v>
      </c>
      <c r="J79" s="4">
        <v>83918000</v>
      </c>
      <c r="K79" s="4">
        <v>93011000</v>
      </c>
      <c r="L79" s="4">
        <v>103449000</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v>15522000</v>
      </c>
      <c r="C83" s="4">
        <v>36150000</v>
      </c>
      <c r="D83" s="4">
        <v>69086000</v>
      </c>
      <c r="E83" s="4">
        <v>102700000</v>
      </c>
      <c r="F83" s="4">
        <v>428525000</v>
      </c>
      <c r="G83" s="4">
        <v>531561000</v>
      </c>
      <c r="H83" s="5">
        <v>548254000</v>
      </c>
      <c r="I83" s="4">
        <v>498057000</v>
      </c>
      <c r="J83" s="4">
        <v>531561000</v>
      </c>
      <c r="K83" s="4">
        <v>536640000</v>
      </c>
      <c r="L83" s="4">
        <v>548254000</v>
      </c>
    </row>
    <row r="84" spans="1:12" ht="16" x14ac:dyDescent="0.2">
      <c r="A84" s="3" t="s">
        <v>86</v>
      </c>
      <c r="B84" s="4">
        <v>7266000</v>
      </c>
      <c r="C84" s="4">
        <v>8914000</v>
      </c>
      <c r="D84" s="4">
        <v>10493000</v>
      </c>
      <c r="E84" s="4">
        <v>19678000</v>
      </c>
      <c r="F84" s="4">
        <v>307880000</v>
      </c>
      <c r="G84" s="4">
        <v>364642000</v>
      </c>
      <c r="H84" s="5">
        <v>362438000</v>
      </c>
      <c r="I84" s="4">
        <v>348265000</v>
      </c>
      <c r="J84" s="4">
        <v>364642000</v>
      </c>
      <c r="K84" s="4">
        <v>362688000</v>
      </c>
      <c r="L84" s="4">
        <v>362438000</v>
      </c>
    </row>
    <row r="85" spans="1:12" ht="16" x14ac:dyDescent="0.2">
      <c r="A85" s="3" t="s">
        <v>87</v>
      </c>
      <c r="B85" s="4">
        <v>6292000</v>
      </c>
      <c r="C85" s="4">
        <v>7626000</v>
      </c>
      <c r="D85" s="4">
        <v>9058000</v>
      </c>
      <c r="E85" s="4">
        <v>17609000</v>
      </c>
      <c r="F85" s="4">
        <v>292176000</v>
      </c>
      <c r="G85" s="4">
        <v>348277000</v>
      </c>
      <c r="H85" s="5">
        <v>350029000</v>
      </c>
      <c r="I85" s="4">
        <v>332649000</v>
      </c>
      <c r="J85" s="4">
        <v>348277000</v>
      </c>
      <c r="K85" s="4">
        <v>348536000</v>
      </c>
      <c r="L85" s="4">
        <v>350029000</v>
      </c>
    </row>
    <row r="86" spans="1:12" ht="16" x14ac:dyDescent="0.2">
      <c r="A86" s="3" t="s">
        <v>88</v>
      </c>
      <c r="B86" s="4">
        <v>974000</v>
      </c>
      <c r="C86" s="4">
        <v>1288000</v>
      </c>
      <c r="D86" s="4">
        <v>1435000</v>
      </c>
      <c r="E86" s="4">
        <v>2069000</v>
      </c>
      <c r="F86" s="4">
        <v>15704000</v>
      </c>
      <c r="G86" s="4">
        <v>16365000</v>
      </c>
      <c r="H86" s="5">
        <v>12409000</v>
      </c>
      <c r="I86" s="4">
        <v>15616000</v>
      </c>
      <c r="J86" s="4">
        <v>16365000</v>
      </c>
      <c r="K86" s="4">
        <v>14152000</v>
      </c>
      <c r="L86" s="4">
        <v>12409000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v>8256000</v>
      </c>
      <c r="C89" s="4">
        <v>27236000</v>
      </c>
      <c r="D89" s="4">
        <v>58593000</v>
      </c>
      <c r="E89" s="4">
        <v>83022000</v>
      </c>
      <c r="F89" s="4">
        <v>120645000</v>
      </c>
      <c r="G89" s="4">
        <v>166919000</v>
      </c>
      <c r="H89" s="5">
        <v>185816000</v>
      </c>
      <c r="I89" s="4">
        <v>149792000</v>
      </c>
      <c r="J89" s="4">
        <v>166919000</v>
      </c>
      <c r="K89" s="4">
        <v>173952000</v>
      </c>
      <c r="L89" s="4">
        <v>185816000</v>
      </c>
    </row>
    <row r="90" spans="1:12" ht="16" x14ac:dyDescent="0.2">
      <c r="A90" s="3" t="s">
        <v>92</v>
      </c>
      <c r="B90" s="4">
        <v>127062000</v>
      </c>
      <c r="C90" s="4">
        <v>179750000</v>
      </c>
      <c r="D90" s="4">
        <v>1038041000</v>
      </c>
      <c r="E90" s="4">
        <v>1890285000</v>
      </c>
      <c r="F90" s="4">
        <v>2380794000</v>
      </c>
      <c r="G90" s="4">
        <v>3004852000</v>
      </c>
      <c r="H90" s="5">
        <v>3312173000</v>
      </c>
      <c r="I90" s="4">
        <v>2797603000</v>
      </c>
      <c r="J90" s="4">
        <v>3004852000</v>
      </c>
      <c r="K90" s="4">
        <v>3139744000</v>
      </c>
      <c r="L90" s="4">
        <v>3312173000</v>
      </c>
    </row>
    <row r="91" spans="1:12" ht="16" x14ac:dyDescent="0.2">
      <c r="A91" s="3" t="s">
        <v>93</v>
      </c>
      <c r="B91" s="4">
        <v>8152000</v>
      </c>
      <c r="C91" s="4">
        <v>21096000</v>
      </c>
      <c r="D91" s="4">
        <v>54175000</v>
      </c>
      <c r="E91" s="4">
        <v>76693000</v>
      </c>
      <c r="F91" s="4">
        <v>136554000</v>
      </c>
      <c r="G91" s="4">
        <v>194632000</v>
      </c>
      <c r="H91" s="5">
        <v>175040000</v>
      </c>
      <c r="I91" s="4">
        <v>173915000</v>
      </c>
      <c r="J91" s="4">
        <v>194632000</v>
      </c>
      <c r="K91" s="4">
        <v>190128000</v>
      </c>
      <c r="L91" s="4">
        <v>175040000</v>
      </c>
    </row>
    <row r="92" spans="1:12" ht="16" x14ac:dyDescent="0.2">
      <c r="A92" s="3" t="s">
        <v>94</v>
      </c>
      <c r="B92" s="4">
        <v>5316000</v>
      </c>
      <c r="C92" s="4">
        <v>12638000</v>
      </c>
      <c r="D92" s="4">
        <v>15429000</v>
      </c>
      <c r="E92" s="4">
        <v>21342000</v>
      </c>
      <c r="F92" s="4">
        <v>25270000</v>
      </c>
      <c r="G92" s="4">
        <v>23474000</v>
      </c>
      <c r="H92" s="5">
        <v>48031000</v>
      </c>
      <c r="I92" s="4">
        <v>27625000</v>
      </c>
      <c r="J92" s="4">
        <v>23474000</v>
      </c>
      <c r="K92" s="4">
        <v>41598000</v>
      </c>
      <c r="L92" s="4">
        <v>48031000</v>
      </c>
    </row>
    <row r="93" spans="1:12" ht="16" x14ac:dyDescent="0.2">
      <c r="A93" s="3" t="s">
        <v>95</v>
      </c>
      <c r="B93" s="4">
        <v>487000</v>
      </c>
      <c r="C93" s="4">
        <v>1663000</v>
      </c>
      <c r="D93" s="4">
        <v>2368000</v>
      </c>
      <c r="E93" s="4">
        <v>12558000</v>
      </c>
      <c r="F93" s="4">
        <v>17316000</v>
      </c>
      <c r="G93" s="4">
        <v>25818000</v>
      </c>
      <c r="H93" s="5" t="s">
        <v>17</v>
      </c>
      <c r="I93" s="4" t="s">
        <v>17</v>
      </c>
      <c r="J93" s="4">
        <v>25818000</v>
      </c>
      <c r="K93" s="4" t="s">
        <v>17</v>
      </c>
      <c r="L93" s="4" t="s">
        <v>17</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v>2349000</v>
      </c>
      <c r="C95" s="4">
        <v>6795000</v>
      </c>
      <c r="D95" s="4">
        <v>36378000</v>
      </c>
      <c r="E95" s="4">
        <v>42793000</v>
      </c>
      <c r="F95" s="4">
        <v>93968000</v>
      </c>
      <c r="G95" s="4">
        <v>145340000</v>
      </c>
      <c r="H95" s="5">
        <v>127009000</v>
      </c>
      <c r="I95" s="4">
        <v>146290000</v>
      </c>
      <c r="J95" s="4">
        <v>145340000</v>
      </c>
      <c r="K95" s="4">
        <v>148530000</v>
      </c>
      <c r="L95" s="4">
        <v>127009000</v>
      </c>
    </row>
    <row r="96" spans="1:12" ht="16" x14ac:dyDescent="0.2">
      <c r="A96" s="3" t="s">
        <v>98</v>
      </c>
      <c r="B96" s="4" t="s">
        <v>17</v>
      </c>
      <c r="C96" s="4" t="s">
        <v>17</v>
      </c>
      <c r="D96" s="4">
        <v>11916000</v>
      </c>
      <c r="E96" s="4">
        <v>16326000</v>
      </c>
      <c r="F96" s="4">
        <v>20157000</v>
      </c>
      <c r="G96" s="4">
        <v>22092000</v>
      </c>
      <c r="H96" s="5">
        <v>18852000</v>
      </c>
      <c r="I96" s="4">
        <v>21751000</v>
      </c>
      <c r="J96" s="4">
        <v>22092000</v>
      </c>
      <c r="K96" s="4">
        <v>20397000</v>
      </c>
      <c r="L96" s="4">
        <v>18852000</v>
      </c>
    </row>
    <row r="97" spans="1:12" ht="16" x14ac:dyDescent="0.2">
      <c r="A97" s="3" t="s">
        <v>99</v>
      </c>
      <c r="B97" s="4" t="s">
        <v>17</v>
      </c>
      <c r="C97" s="4" t="s">
        <v>17</v>
      </c>
      <c r="D97" s="4" t="s">
        <v>17</v>
      </c>
      <c r="E97" s="4" t="s">
        <v>17</v>
      </c>
      <c r="F97" s="4" t="s">
        <v>17</v>
      </c>
      <c r="G97" s="4" t="s">
        <v>17</v>
      </c>
      <c r="H97" s="5" t="s">
        <v>17</v>
      </c>
      <c r="I97" s="4" t="s">
        <v>17</v>
      </c>
      <c r="J97" s="4" t="s">
        <v>17</v>
      </c>
      <c r="K97" s="4" t="s">
        <v>17</v>
      </c>
      <c r="L97" s="4" t="s">
        <v>17</v>
      </c>
    </row>
    <row r="98" spans="1:12" ht="16" x14ac:dyDescent="0.2">
      <c r="A98" s="3" t="s">
        <v>100</v>
      </c>
      <c r="B98" s="4" t="s">
        <v>17</v>
      </c>
      <c r="C98" s="4" t="s">
        <v>17</v>
      </c>
      <c r="D98" s="4">
        <v>11916000</v>
      </c>
      <c r="E98" s="4">
        <v>16326000</v>
      </c>
      <c r="F98" s="4">
        <v>20157000</v>
      </c>
      <c r="G98" s="4">
        <v>22092000</v>
      </c>
      <c r="H98" s="5">
        <v>18852000</v>
      </c>
      <c r="I98" s="4">
        <v>21751000</v>
      </c>
      <c r="J98" s="4">
        <v>22092000</v>
      </c>
      <c r="K98" s="4">
        <v>20397000</v>
      </c>
      <c r="L98" s="4">
        <v>18852000</v>
      </c>
    </row>
    <row r="99" spans="1:12" ht="16" x14ac:dyDescent="0.2">
      <c r="A99" s="3" t="s">
        <v>101</v>
      </c>
      <c r="B99" s="4">
        <v>49103000</v>
      </c>
      <c r="C99" s="4">
        <v>91138000</v>
      </c>
      <c r="D99" s="4">
        <v>134148000</v>
      </c>
      <c r="E99" s="4">
        <v>204825000</v>
      </c>
      <c r="F99" s="4">
        <v>371985000</v>
      </c>
      <c r="G99" s="4">
        <v>543024000</v>
      </c>
      <c r="H99" s="5">
        <v>567470000</v>
      </c>
      <c r="I99" s="4">
        <v>478742000</v>
      </c>
      <c r="J99" s="4">
        <v>543024000</v>
      </c>
      <c r="K99" s="4">
        <v>562429000</v>
      </c>
      <c r="L99" s="4">
        <v>567470000</v>
      </c>
    </row>
    <row r="100" spans="1:12" ht="16" x14ac:dyDescent="0.2">
      <c r="A100" s="3" t="s">
        <v>102</v>
      </c>
      <c r="B100" s="4">
        <v>35283000</v>
      </c>
      <c r="C100" s="4">
        <v>69306000</v>
      </c>
      <c r="D100" s="4">
        <v>134148000</v>
      </c>
      <c r="E100" s="4">
        <v>204825000</v>
      </c>
      <c r="F100" s="4">
        <v>371985000</v>
      </c>
      <c r="G100" s="4">
        <v>543024000</v>
      </c>
      <c r="H100" s="5">
        <v>567470000</v>
      </c>
      <c r="I100" s="4">
        <v>478742000</v>
      </c>
      <c r="J100" s="4">
        <v>543024000</v>
      </c>
      <c r="K100" s="4">
        <v>562429000</v>
      </c>
      <c r="L100" s="4">
        <v>567470000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t="s">
        <v>17</v>
      </c>
      <c r="D102" s="4" t="s">
        <v>17</v>
      </c>
      <c r="E102" s="4" t="s">
        <v>17</v>
      </c>
      <c r="F102" s="4" t="s">
        <v>17</v>
      </c>
      <c r="G102" s="4" t="s">
        <v>17</v>
      </c>
      <c r="H102" s="5" t="s">
        <v>17</v>
      </c>
      <c r="I102" s="4" t="s">
        <v>17</v>
      </c>
      <c r="J102" s="4" t="s">
        <v>17</v>
      </c>
      <c r="K102" s="4" t="s">
        <v>17</v>
      </c>
      <c r="L102" s="4" t="s">
        <v>17</v>
      </c>
    </row>
    <row r="103" spans="1:12" ht="16" x14ac:dyDescent="0.2">
      <c r="A103" s="3" t="s">
        <v>105</v>
      </c>
      <c r="B103" s="4">
        <v>13820000</v>
      </c>
      <c r="C103" s="4">
        <v>21832000</v>
      </c>
      <c r="D103" s="4" t="s">
        <v>17</v>
      </c>
      <c r="E103" s="4" t="s">
        <v>17</v>
      </c>
      <c r="F103" s="4" t="s">
        <v>17</v>
      </c>
      <c r="G103" s="4" t="s">
        <v>17</v>
      </c>
      <c r="H103" s="5" t="s">
        <v>17</v>
      </c>
      <c r="I103" s="4" t="s">
        <v>17</v>
      </c>
      <c r="J103" s="4" t="s">
        <v>17</v>
      </c>
      <c r="K103" s="4" t="s">
        <v>17</v>
      </c>
      <c r="L103" s="4" t="s">
        <v>17</v>
      </c>
    </row>
    <row r="104" spans="1:12" ht="16" x14ac:dyDescent="0.2">
      <c r="A104" s="3" t="s">
        <v>106</v>
      </c>
      <c r="B104" s="4">
        <v>57255000</v>
      </c>
      <c r="C104" s="4">
        <v>112234000</v>
      </c>
      <c r="D104" s="4">
        <v>200239000</v>
      </c>
      <c r="E104" s="4">
        <v>297844000</v>
      </c>
      <c r="F104" s="4">
        <v>528696000</v>
      </c>
      <c r="G104" s="4">
        <v>759748000</v>
      </c>
      <c r="H104" s="5">
        <v>761362000</v>
      </c>
      <c r="I104" s="4">
        <v>674408000</v>
      </c>
      <c r="J104" s="4">
        <v>759748000</v>
      </c>
      <c r="K104" s="4">
        <v>772954000</v>
      </c>
      <c r="L104" s="4">
        <v>761362000</v>
      </c>
    </row>
    <row r="105" spans="1:12" ht="16" x14ac:dyDescent="0.2">
      <c r="A105" s="3" t="s">
        <v>107</v>
      </c>
      <c r="B105" s="4" t="s">
        <v>17</v>
      </c>
      <c r="C105" s="4" t="s">
        <v>17</v>
      </c>
      <c r="D105" s="4">
        <v>48510000</v>
      </c>
      <c r="E105" s="4">
        <v>627297000</v>
      </c>
      <c r="F105" s="4">
        <v>787588000</v>
      </c>
      <c r="G105" s="4">
        <v>815429000</v>
      </c>
      <c r="H105" s="5">
        <v>866232000</v>
      </c>
      <c r="I105" s="4">
        <v>814937000</v>
      </c>
      <c r="J105" s="4">
        <v>815429000</v>
      </c>
      <c r="K105" s="4">
        <v>825934000</v>
      </c>
      <c r="L105" s="4">
        <v>866232000</v>
      </c>
    </row>
    <row r="106" spans="1:12" ht="16" x14ac:dyDescent="0.2">
      <c r="A106" s="3" t="s">
        <v>108</v>
      </c>
      <c r="B106" s="4" t="s">
        <v>17</v>
      </c>
      <c r="C106" s="4" t="s">
        <v>17</v>
      </c>
      <c r="D106" s="4" t="s">
        <v>17</v>
      </c>
      <c r="E106" s="4">
        <v>575864000</v>
      </c>
      <c r="F106" s="4">
        <v>735482000</v>
      </c>
      <c r="G106" s="4">
        <v>738847000</v>
      </c>
      <c r="H106" s="5">
        <v>740538000</v>
      </c>
      <c r="I106" s="4">
        <v>738003000</v>
      </c>
      <c r="J106" s="4">
        <v>738847000</v>
      </c>
      <c r="K106" s="4">
        <v>739692000</v>
      </c>
      <c r="L106" s="4">
        <v>740538000</v>
      </c>
    </row>
    <row r="107" spans="1:12" ht="16" x14ac:dyDescent="0.2">
      <c r="A107" s="3" t="s">
        <v>109</v>
      </c>
      <c r="B107" s="4" t="s">
        <v>17</v>
      </c>
      <c r="C107" s="4" t="s">
        <v>17</v>
      </c>
      <c r="D107" s="4">
        <v>48510000</v>
      </c>
      <c r="E107" s="4">
        <v>51433000</v>
      </c>
      <c r="F107" s="4">
        <v>52106000</v>
      </c>
      <c r="G107" s="4">
        <v>76582000</v>
      </c>
      <c r="H107" s="5">
        <v>125694000</v>
      </c>
      <c r="I107" s="4">
        <v>76934000</v>
      </c>
      <c r="J107" s="4">
        <v>76582000</v>
      </c>
      <c r="K107" s="4">
        <v>86242000</v>
      </c>
      <c r="L107" s="4">
        <v>125694000</v>
      </c>
    </row>
    <row r="108" spans="1:12" ht="16" x14ac:dyDescent="0.2">
      <c r="A108" s="3" t="s">
        <v>110</v>
      </c>
      <c r="B108" s="4">
        <v>145508000</v>
      </c>
      <c r="C108" s="4">
        <v>143557000</v>
      </c>
      <c r="D108" s="4">
        <v>6951000</v>
      </c>
      <c r="E108" s="4">
        <v>7712000</v>
      </c>
      <c r="F108" s="4">
        <v>23307000</v>
      </c>
      <c r="G108" s="4">
        <v>19170000</v>
      </c>
      <c r="H108" s="5">
        <v>35220000</v>
      </c>
      <c r="I108" s="4">
        <v>18819000</v>
      </c>
      <c r="J108" s="4">
        <v>19170000</v>
      </c>
      <c r="K108" s="4">
        <v>28757000</v>
      </c>
      <c r="L108" s="4">
        <v>35220000</v>
      </c>
    </row>
    <row r="109" spans="1:12" ht="16" x14ac:dyDescent="0.2">
      <c r="A109" s="3" t="s">
        <v>111</v>
      </c>
      <c r="B109" s="4">
        <v>3818000</v>
      </c>
      <c r="C109" s="4">
        <v>1393000</v>
      </c>
      <c r="D109" s="4">
        <v>4340000</v>
      </c>
      <c r="E109" s="4">
        <v>3450000</v>
      </c>
      <c r="F109" s="4">
        <v>13896000</v>
      </c>
      <c r="G109" s="4">
        <v>12944000</v>
      </c>
      <c r="H109" s="5">
        <v>27534000</v>
      </c>
      <c r="I109" s="4">
        <v>9455000</v>
      </c>
      <c r="J109" s="4">
        <v>12944000</v>
      </c>
      <c r="K109" s="4">
        <v>22506000</v>
      </c>
      <c r="L109" s="4">
        <v>27534000</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v>141690000</v>
      </c>
      <c r="C114" s="4">
        <v>142164000</v>
      </c>
      <c r="D114" s="4">
        <v>2611000</v>
      </c>
      <c r="E114" s="4">
        <v>4262000</v>
      </c>
      <c r="F114" s="4">
        <v>9411000</v>
      </c>
      <c r="G114" s="4">
        <v>6226000</v>
      </c>
      <c r="H114" s="5">
        <v>7686000</v>
      </c>
      <c r="I114" s="4">
        <v>9364000</v>
      </c>
      <c r="J114" s="4">
        <v>6226000</v>
      </c>
      <c r="K114" s="4">
        <v>6251000</v>
      </c>
      <c r="L114" s="4">
        <v>7686000</v>
      </c>
    </row>
    <row r="115" spans="1:12" ht="16" x14ac:dyDescent="0.2">
      <c r="A115" s="3" t="s">
        <v>114</v>
      </c>
      <c r="B115" s="4">
        <v>145508000</v>
      </c>
      <c r="C115" s="4">
        <v>143557000</v>
      </c>
      <c r="D115" s="4">
        <v>55461000</v>
      </c>
      <c r="E115" s="4">
        <v>635009000</v>
      </c>
      <c r="F115" s="4">
        <v>810895000</v>
      </c>
      <c r="G115" s="4">
        <v>834599000</v>
      </c>
      <c r="H115" s="5">
        <v>901452000</v>
      </c>
      <c r="I115" s="4">
        <v>833756000</v>
      </c>
      <c r="J115" s="4">
        <v>834599000</v>
      </c>
      <c r="K115" s="4">
        <v>854691000</v>
      </c>
      <c r="L115" s="4">
        <v>901452000</v>
      </c>
    </row>
    <row r="116" spans="1:12" ht="16" x14ac:dyDescent="0.2">
      <c r="A116" s="3" t="s">
        <v>115</v>
      </c>
      <c r="B116" s="4">
        <v>202763000</v>
      </c>
      <c r="C116" s="4">
        <v>255791000</v>
      </c>
      <c r="D116" s="4">
        <v>255700000</v>
      </c>
      <c r="E116" s="4">
        <v>932853000</v>
      </c>
      <c r="F116" s="4">
        <v>1339591000</v>
      </c>
      <c r="G116" s="4">
        <v>1594347000</v>
      </c>
      <c r="H116" s="5">
        <v>1662814000</v>
      </c>
      <c r="I116" s="4">
        <v>1508164000</v>
      </c>
      <c r="J116" s="4">
        <v>1594347000</v>
      </c>
      <c r="K116" s="4">
        <v>1627645000</v>
      </c>
      <c r="L116" s="4">
        <v>1662814000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v>19716000</v>
      </c>
      <c r="C118" s="4">
        <v>30834000</v>
      </c>
      <c r="D118" s="4">
        <v>905824000</v>
      </c>
      <c r="E118" s="4">
        <v>1103308000</v>
      </c>
      <c r="F118" s="4">
        <v>1197139000</v>
      </c>
      <c r="G118" s="4">
        <v>1625193000</v>
      </c>
      <c r="H118" s="5">
        <v>1891998000</v>
      </c>
      <c r="I118" s="4">
        <v>1487995000</v>
      </c>
      <c r="J118" s="4">
        <v>1625193000</v>
      </c>
      <c r="K118" s="4">
        <v>1744224000</v>
      </c>
      <c r="L118" s="4">
        <v>1891998000</v>
      </c>
    </row>
    <row r="119" spans="1:12" ht="16" x14ac:dyDescent="0.2">
      <c r="A119" s="3" t="s">
        <v>118</v>
      </c>
      <c r="B119" s="4" t="s">
        <v>17</v>
      </c>
      <c r="C119" s="4" t="s">
        <v>17</v>
      </c>
      <c r="D119" s="4">
        <v>3000</v>
      </c>
      <c r="E119" s="4">
        <v>3000</v>
      </c>
      <c r="F119" s="4">
        <v>3000</v>
      </c>
      <c r="G119" s="4">
        <v>3000</v>
      </c>
      <c r="H119" s="5">
        <v>3000</v>
      </c>
      <c r="I119" s="4">
        <v>3000</v>
      </c>
      <c r="J119" s="4">
        <v>3000</v>
      </c>
      <c r="K119" s="4">
        <v>3000</v>
      </c>
      <c r="L119" s="4">
        <v>3000</v>
      </c>
    </row>
    <row r="120" spans="1:12" ht="16" x14ac:dyDescent="0.2">
      <c r="A120" s="3" t="s">
        <v>119</v>
      </c>
      <c r="B120" s="4">
        <v>19716000</v>
      </c>
      <c r="C120" s="4">
        <v>30834000</v>
      </c>
      <c r="D120" s="4">
        <v>905821000</v>
      </c>
      <c r="E120" s="4">
        <v>1103305000</v>
      </c>
      <c r="F120" s="4">
        <v>1197136000</v>
      </c>
      <c r="G120" s="4">
        <v>1625190000</v>
      </c>
      <c r="H120" s="5">
        <v>1891995000</v>
      </c>
      <c r="I120" s="4">
        <v>1487992000</v>
      </c>
      <c r="J120" s="4">
        <v>1625190000</v>
      </c>
      <c r="K120" s="4">
        <v>1744221000</v>
      </c>
      <c r="L120" s="4">
        <v>1891995000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v>-95369000</v>
      </c>
      <c r="C122" s="4">
        <v>-106906000</v>
      </c>
      <c r="D122" s="4">
        <v>-123616000</v>
      </c>
      <c r="E122" s="4">
        <v>-148163000</v>
      </c>
      <c r="F122" s="4">
        <v>-152106000</v>
      </c>
      <c r="G122" s="4">
        <v>-202266000</v>
      </c>
      <c r="H122" s="5">
        <v>-230321000</v>
      </c>
      <c r="I122" s="4">
        <v>-173232000</v>
      </c>
      <c r="J122" s="4">
        <v>-202266000</v>
      </c>
      <c r="K122" s="4">
        <v>-226352000</v>
      </c>
      <c r="L122" s="4">
        <v>-230321000</v>
      </c>
    </row>
    <row r="123" spans="1:12" ht="16" x14ac:dyDescent="0.2">
      <c r="A123" s="3" t="s">
        <v>122</v>
      </c>
      <c r="B123" s="4">
        <v>-48000</v>
      </c>
      <c r="C123" s="4">
        <v>31000</v>
      </c>
      <c r="D123" s="4">
        <v>133000</v>
      </c>
      <c r="E123" s="4">
        <v>2287000</v>
      </c>
      <c r="F123" s="4">
        <v>-3830000</v>
      </c>
      <c r="G123" s="4">
        <v>-12422000</v>
      </c>
      <c r="H123" s="5">
        <v>-12318000</v>
      </c>
      <c r="I123" s="4">
        <v>-25324000</v>
      </c>
      <c r="J123" s="4">
        <v>-12422000</v>
      </c>
      <c r="K123" s="4">
        <v>-5773000</v>
      </c>
      <c r="L123" s="4">
        <v>-12318000</v>
      </c>
    </row>
    <row r="124" spans="1:12" ht="16" x14ac:dyDescent="0.2">
      <c r="A124" s="3" t="s">
        <v>123</v>
      </c>
      <c r="B124" s="4">
        <v>-75701000</v>
      </c>
      <c r="C124" s="4">
        <v>-76041000</v>
      </c>
      <c r="D124" s="4">
        <v>782341000</v>
      </c>
      <c r="E124" s="4">
        <v>957432000</v>
      </c>
      <c r="F124" s="4">
        <v>1041203000</v>
      </c>
      <c r="G124" s="4">
        <v>1410505000</v>
      </c>
      <c r="H124" s="5">
        <v>1649359000</v>
      </c>
      <c r="I124" s="4">
        <v>1289439000</v>
      </c>
      <c r="J124" s="4">
        <v>1410505000</v>
      </c>
      <c r="K124" s="4">
        <v>1512099000</v>
      </c>
      <c r="L124" s="4">
        <v>1649359000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v>-75701000</v>
      </c>
      <c r="C126" s="4">
        <v>-76041000</v>
      </c>
      <c r="D126" s="4">
        <v>782341000</v>
      </c>
      <c r="E126" s="4">
        <v>957432000</v>
      </c>
      <c r="F126" s="4">
        <v>1041203000</v>
      </c>
      <c r="G126" s="4">
        <v>1410505000</v>
      </c>
      <c r="H126" s="5">
        <v>1649359000</v>
      </c>
      <c r="I126" s="4">
        <v>1289439000</v>
      </c>
      <c r="J126" s="4">
        <v>1410505000</v>
      </c>
      <c r="K126" s="4">
        <v>1512099000</v>
      </c>
      <c r="L126" s="4">
        <v>1649359000</v>
      </c>
    </row>
    <row r="127" spans="1:12" ht="16" x14ac:dyDescent="0.2">
      <c r="A127" s="3" t="s">
        <v>126</v>
      </c>
      <c r="B127" s="4">
        <v>127062000</v>
      </c>
      <c r="C127" s="4">
        <v>179750000</v>
      </c>
      <c r="D127" s="4">
        <v>1038041000</v>
      </c>
      <c r="E127" s="4">
        <v>1890285000</v>
      </c>
      <c r="F127" s="4">
        <v>2380794000</v>
      </c>
      <c r="G127" s="4">
        <v>3004852000</v>
      </c>
      <c r="H127" s="5">
        <v>3312173000</v>
      </c>
      <c r="I127" s="4">
        <v>2797603000</v>
      </c>
      <c r="J127" s="4">
        <v>3004852000</v>
      </c>
      <c r="K127" s="4">
        <v>3139744000</v>
      </c>
      <c r="L127" s="4">
        <v>3312173000</v>
      </c>
    </row>
    <row r="128" spans="1:12" ht="16" x14ac:dyDescent="0.2">
      <c r="A128" s="30" t="s">
        <v>127</v>
      </c>
      <c r="B128" s="26">
        <v>79566000</v>
      </c>
      <c r="C128" s="26">
        <v>70951000</v>
      </c>
      <c r="D128" s="26">
        <v>296387000</v>
      </c>
      <c r="E128" s="26">
        <v>305880000</v>
      </c>
      <c r="F128" s="26">
        <v>313365000</v>
      </c>
      <c r="G128" s="26">
        <v>319190000</v>
      </c>
      <c r="H128" s="27">
        <v>324577000</v>
      </c>
      <c r="I128" s="26">
        <v>317525000</v>
      </c>
      <c r="J128" s="26">
        <v>319190000</v>
      </c>
      <c r="K128" s="26">
        <v>321446000</v>
      </c>
      <c r="L128" s="26">
        <v>324577000</v>
      </c>
    </row>
    <row r="129" spans="1:12" ht="16" x14ac:dyDescent="0.2">
      <c r="A129" s="13" t="s">
        <v>190</v>
      </c>
      <c r="B129" s="10"/>
      <c r="C129" s="19">
        <f>(C128/B128)-1</f>
        <v>-0.10827489128522239</v>
      </c>
      <c r="D129" s="19">
        <f>(D128/C128)-1</f>
        <v>3.1773477470366869</v>
      </c>
      <c r="E129" s="19">
        <f>(E128/D128)-1</f>
        <v>3.202907010091538E-2</v>
      </c>
      <c r="F129" s="19">
        <f t="shared" ref="F129:L129" si="6">(F128/E128)-1</f>
        <v>2.4470380541388836E-2</v>
      </c>
      <c r="G129" s="19">
        <f t="shared" si="6"/>
        <v>1.8588546902174707E-2</v>
      </c>
      <c r="H129" s="19">
        <f t="shared" si="6"/>
        <v>1.6877095147091126E-2</v>
      </c>
      <c r="I129" s="19">
        <f t="shared" si="6"/>
        <v>-2.172673972585859E-2</v>
      </c>
      <c r="J129" s="19">
        <f t="shared" si="6"/>
        <v>5.2436815998739839E-3</v>
      </c>
      <c r="K129" s="19">
        <f t="shared" si="6"/>
        <v>7.0678905980763318E-3</v>
      </c>
      <c r="L129" s="19">
        <f t="shared" si="6"/>
        <v>9.7403607448840468E-3</v>
      </c>
    </row>
    <row r="130" spans="1:12" ht="16" x14ac:dyDescent="0.2">
      <c r="A130" s="3" t="s">
        <v>128</v>
      </c>
      <c r="B130" s="4" t="s">
        <v>17</v>
      </c>
      <c r="C130" s="4" t="s">
        <v>17</v>
      </c>
      <c r="D130" s="4">
        <v>60426000</v>
      </c>
      <c r="E130" s="4">
        <v>67759000</v>
      </c>
      <c r="F130" s="4">
        <v>72263000</v>
      </c>
      <c r="G130" s="4">
        <v>98674000</v>
      </c>
      <c r="H130" s="5">
        <v>144546000</v>
      </c>
      <c r="I130" s="4">
        <v>98685000</v>
      </c>
      <c r="J130" s="4">
        <v>98674000</v>
      </c>
      <c r="K130" s="4">
        <v>106639000</v>
      </c>
      <c r="L130" s="4">
        <v>144546000</v>
      </c>
    </row>
    <row r="131" spans="1:12" ht="16" x14ac:dyDescent="0.2">
      <c r="A131" s="3" t="s">
        <v>129</v>
      </c>
      <c r="B131" s="4">
        <v>-60024000</v>
      </c>
      <c r="C131" s="4">
        <v>-53639000</v>
      </c>
      <c r="D131" s="4">
        <v>-597297000</v>
      </c>
      <c r="E131" s="4">
        <v>350937000</v>
      </c>
      <c r="F131" s="4">
        <v>464509000</v>
      </c>
      <c r="G131" s="4">
        <v>399862000</v>
      </c>
      <c r="H131" s="5">
        <v>449234000</v>
      </c>
      <c r="I131" s="4">
        <v>443188000</v>
      </c>
      <c r="J131" s="4">
        <v>399862000</v>
      </c>
      <c r="K131" s="4">
        <v>517144000</v>
      </c>
      <c r="L131" s="4">
        <v>449234000</v>
      </c>
    </row>
    <row r="132" spans="1:12" ht="16" x14ac:dyDescent="0.2">
      <c r="A132" s="3" t="s">
        <v>130</v>
      </c>
      <c r="B132" s="6">
        <v>79.290000000000006</v>
      </c>
      <c r="C132" s="6">
        <v>70.540000000000006</v>
      </c>
      <c r="D132" s="6">
        <v>-76.349999999999994</v>
      </c>
      <c r="E132" s="6">
        <v>36.65</v>
      </c>
      <c r="F132" s="6">
        <v>44.61</v>
      </c>
      <c r="G132" s="6">
        <v>28.35</v>
      </c>
      <c r="H132" s="7">
        <v>27.24</v>
      </c>
      <c r="I132" s="6">
        <v>34.369999999999997</v>
      </c>
      <c r="J132" s="6">
        <v>28.35</v>
      </c>
      <c r="K132" s="6">
        <v>34.200000000000003</v>
      </c>
      <c r="L132" s="6">
        <v>27.24</v>
      </c>
    </row>
    <row r="133" spans="1:12" ht="16" x14ac:dyDescent="0.2">
      <c r="A133" s="3" t="s">
        <v>131</v>
      </c>
      <c r="B133" s="6">
        <v>-69.260000000000005</v>
      </c>
      <c r="C133" s="6">
        <v>-49.73</v>
      </c>
      <c r="D133" s="6">
        <v>75.12</v>
      </c>
      <c r="E133" s="6">
        <v>50.13</v>
      </c>
      <c r="F133" s="6">
        <v>35.380000000000003</v>
      </c>
      <c r="G133" s="6">
        <v>39.61</v>
      </c>
      <c r="H133" s="7">
        <v>43.63</v>
      </c>
      <c r="I133" s="6">
        <v>38.43</v>
      </c>
      <c r="J133" s="6">
        <v>39.61</v>
      </c>
      <c r="K133" s="6">
        <v>41.39</v>
      </c>
      <c r="L133" s="6">
        <v>43.63</v>
      </c>
    </row>
    <row r="134" spans="1:12" ht="16" x14ac:dyDescent="0.2">
      <c r="A134" s="3" t="s">
        <v>132</v>
      </c>
      <c r="B134" s="6">
        <v>1.75</v>
      </c>
      <c r="C134" s="6">
        <v>1.0900000000000001</v>
      </c>
      <c r="D134" s="6">
        <v>4.51</v>
      </c>
      <c r="E134" s="6">
        <v>5.77</v>
      </c>
      <c r="F134" s="6">
        <v>3.54</v>
      </c>
      <c r="G134" s="6">
        <v>3.09</v>
      </c>
      <c r="H134" s="7">
        <v>3.42</v>
      </c>
      <c r="I134" s="6">
        <v>3.23</v>
      </c>
      <c r="J134" s="6">
        <v>3.09</v>
      </c>
      <c r="K134" s="6">
        <v>3.19</v>
      </c>
      <c r="L134" s="6">
        <v>3.42</v>
      </c>
    </row>
    <row r="135" spans="1:12" ht="16" x14ac:dyDescent="0.2">
      <c r="A135" s="3" t="s">
        <v>133</v>
      </c>
      <c r="B135" s="4" t="s">
        <v>17</v>
      </c>
      <c r="C135" s="6">
        <v>9.5299999999999994</v>
      </c>
      <c r="D135" s="6">
        <v>22.01</v>
      </c>
      <c r="E135" s="6">
        <v>28.83</v>
      </c>
      <c r="F135" s="6">
        <v>40.35</v>
      </c>
      <c r="G135" s="6">
        <v>47.16</v>
      </c>
      <c r="H135" s="7">
        <v>16.899999999999999</v>
      </c>
      <c r="I135" s="6">
        <v>32.479999999999997</v>
      </c>
      <c r="J135" s="6">
        <v>47.16</v>
      </c>
      <c r="K135" s="6">
        <v>35.83</v>
      </c>
      <c r="L135" s="6">
        <v>16.899999999999999</v>
      </c>
    </row>
    <row r="136" spans="1:12" ht="16" x14ac:dyDescent="0.2">
      <c r="A136" s="3" t="s">
        <v>134</v>
      </c>
      <c r="B136" s="4" t="s">
        <v>17</v>
      </c>
      <c r="C136" s="4" t="s">
        <v>17</v>
      </c>
      <c r="D136" s="4">
        <v>1403</v>
      </c>
      <c r="E136" s="4">
        <v>2185</v>
      </c>
      <c r="F136" s="4">
        <v>3200</v>
      </c>
      <c r="G136" s="4">
        <v>4800</v>
      </c>
      <c r="H136" s="5">
        <v>4800</v>
      </c>
      <c r="I136" s="4">
        <v>3200</v>
      </c>
      <c r="J136" s="4">
        <v>4800</v>
      </c>
      <c r="K136" s="4">
        <v>4800</v>
      </c>
      <c r="L136" s="4">
        <v>4800</v>
      </c>
    </row>
    <row r="138" spans="1:12" ht="16"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ht="16" x14ac:dyDescent="0.2">
      <c r="A139" s="3" t="s">
        <v>135</v>
      </c>
      <c r="B139" s="4">
        <v>-2570000</v>
      </c>
      <c r="C139" s="4">
        <v>-10762000</v>
      </c>
      <c r="D139" s="4">
        <v>-16710000</v>
      </c>
      <c r="E139" s="4">
        <v>-24547000</v>
      </c>
      <c r="F139" s="4">
        <v>-20745000</v>
      </c>
      <c r="G139" s="4">
        <v>-50160000</v>
      </c>
      <c r="H139" s="5">
        <v>-83074000</v>
      </c>
      <c r="I139" s="4">
        <v>-25985000</v>
      </c>
      <c r="J139" s="4">
        <v>-29034000</v>
      </c>
      <c r="K139" s="4">
        <v>-24086000</v>
      </c>
      <c r="L139" s="4">
        <v>-3969000</v>
      </c>
    </row>
    <row r="140" spans="1:12" ht="16" x14ac:dyDescent="0.2">
      <c r="A140" s="3" t="s">
        <v>136</v>
      </c>
      <c r="B140" s="4">
        <v>2704000</v>
      </c>
      <c r="C140" s="4">
        <v>6026000</v>
      </c>
      <c r="D140" s="4">
        <v>12370000</v>
      </c>
      <c r="E140" s="4">
        <v>15450000</v>
      </c>
      <c r="F140" s="4">
        <v>22938000</v>
      </c>
      <c r="G140" s="4">
        <v>34629000</v>
      </c>
      <c r="H140" s="5">
        <v>39942000</v>
      </c>
      <c r="I140" s="4">
        <v>9313000</v>
      </c>
      <c r="J140" s="4">
        <v>9804000</v>
      </c>
      <c r="K140" s="4">
        <v>10275000</v>
      </c>
      <c r="L140" s="4">
        <v>10550000</v>
      </c>
    </row>
    <row r="141" spans="1:12" ht="16" x14ac:dyDescent="0.2">
      <c r="A141" s="3" t="s">
        <v>137</v>
      </c>
      <c r="B141" s="4">
        <v>4724000</v>
      </c>
      <c r="C141" s="4">
        <v>8401000</v>
      </c>
      <c r="D141" s="4">
        <v>38112000</v>
      </c>
      <c r="E141" s="4">
        <v>130654000</v>
      </c>
      <c r="F141" s="4">
        <v>220974000</v>
      </c>
      <c r="G141" s="4">
        <v>427545000</v>
      </c>
      <c r="H141" s="5">
        <v>500926000</v>
      </c>
      <c r="I141" s="4">
        <v>117637000</v>
      </c>
      <c r="J141" s="4">
        <v>126900000</v>
      </c>
      <c r="K141" s="4">
        <v>126790000</v>
      </c>
      <c r="L141" s="4">
        <v>129599000</v>
      </c>
    </row>
    <row r="142" spans="1:12" ht="16" x14ac:dyDescent="0.2">
      <c r="A142" s="30" t="s">
        <v>138</v>
      </c>
      <c r="B142" s="26">
        <v>3068000</v>
      </c>
      <c r="C142" s="26">
        <v>5244000</v>
      </c>
      <c r="D142" s="26">
        <v>19034000</v>
      </c>
      <c r="E142" s="26">
        <v>74374000</v>
      </c>
      <c r="F142" s="26">
        <v>163737000</v>
      </c>
      <c r="G142" s="26">
        <v>363154000</v>
      </c>
      <c r="H142" s="27">
        <v>444936000</v>
      </c>
      <c r="I142" s="26">
        <v>101362000</v>
      </c>
      <c r="J142" s="26">
        <v>112509000</v>
      </c>
      <c r="K142" s="26">
        <v>112728000</v>
      </c>
      <c r="L142" s="26">
        <v>118337000</v>
      </c>
    </row>
    <row r="143" spans="1:12" ht="16" x14ac:dyDescent="0.2">
      <c r="A143" s="12" t="s">
        <v>191</v>
      </c>
      <c r="B143" s="19">
        <f t="shared" ref="B143:L143" si="7">B142/B2</f>
        <v>3.0448288524329851E-2</v>
      </c>
      <c r="C143" s="19">
        <f t="shared" si="7"/>
        <v>2.6474552825416379E-2</v>
      </c>
      <c r="D143" s="19">
        <f t="shared" si="7"/>
        <v>5.2467059926126026E-2</v>
      </c>
      <c r="E143" s="19">
        <f t="shared" si="7"/>
        <v>0.12324472298356494</v>
      </c>
      <c r="F143" s="19">
        <f t="shared" si="7"/>
        <v>0.1591558577893902</v>
      </c>
      <c r="G143" s="19">
        <f t="shared" si="7"/>
        <v>0.21679541519909259</v>
      </c>
      <c r="H143" s="19">
        <f t="shared" si="7"/>
        <v>0.2345340745324721</v>
      </c>
      <c r="I143" s="19">
        <f t="shared" si="7"/>
        <v>0.23219779489752207</v>
      </c>
      <c r="J143" s="19">
        <f t="shared" si="7"/>
        <v>0.23968734488143351</v>
      </c>
      <c r="K143" s="19">
        <f t="shared" si="7"/>
        <v>0.23401437367400574</v>
      </c>
      <c r="L143" s="19">
        <f t="shared" si="7"/>
        <v>0.23227927609625879</v>
      </c>
    </row>
    <row r="144" spans="1:12" ht="16" x14ac:dyDescent="0.2">
      <c r="A144" s="3" t="s">
        <v>139</v>
      </c>
      <c r="B144" s="4" t="s">
        <v>17</v>
      </c>
      <c r="C144" s="4" t="s">
        <v>17</v>
      </c>
      <c r="D144" s="4" t="s">
        <v>17</v>
      </c>
      <c r="E144" s="4" t="s">
        <v>17</v>
      </c>
      <c r="F144" s="4" t="s">
        <v>17</v>
      </c>
      <c r="G144" s="4" t="s">
        <v>17</v>
      </c>
      <c r="H144" s="5" t="s">
        <v>17</v>
      </c>
      <c r="I144" s="4" t="s">
        <v>17</v>
      </c>
      <c r="J144" s="4" t="s">
        <v>17</v>
      </c>
      <c r="K144" s="4" t="s">
        <v>17</v>
      </c>
      <c r="L144" s="4" t="s">
        <v>17</v>
      </c>
    </row>
    <row r="145" spans="1:12" ht="16" x14ac:dyDescent="0.2">
      <c r="A145" s="3" t="s">
        <v>140</v>
      </c>
      <c r="B145" s="4" t="s">
        <v>17</v>
      </c>
      <c r="C145" s="4" t="s">
        <v>17</v>
      </c>
      <c r="D145" s="4" t="s">
        <v>17</v>
      </c>
      <c r="E145" s="4" t="s">
        <v>17</v>
      </c>
      <c r="F145" s="4" t="s">
        <v>17</v>
      </c>
      <c r="G145" s="4" t="s">
        <v>17</v>
      </c>
      <c r="H145" s="5" t="s">
        <v>17</v>
      </c>
      <c r="I145" s="4" t="s">
        <v>17</v>
      </c>
      <c r="J145" s="4" t="s">
        <v>17</v>
      </c>
      <c r="K145" s="4" t="s">
        <v>17</v>
      </c>
      <c r="L145" s="4" t="s">
        <v>17</v>
      </c>
    </row>
    <row r="146" spans="1:12" ht="16" x14ac:dyDescent="0.2">
      <c r="A146" s="3" t="s">
        <v>141</v>
      </c>
      <c r="B146" s="4">
        <v>1656000</v>
      </c>
      <c r="C146" s="4">
        <v>3157000</v>
      </c>
      <c r="D146" s="4">
        <v>19078000</v>
      </c>
      <c r="E146" s="4">
        <v>56280000</v>
      </c>
      <c r="F146" s="4">
        <v>57237000</v>
      </c>
      <c r="G146" s="4">
        <v>64391000</v>
      </c>
      <c r="H146" s="5">
        <v>55990000</v>
      </c>
      <c r="I146" s="4">
        <v>16275000</v>
      </c>
      <c r="J146" s="4">
        <v>14391000</v>
      </c>
      <c r="K146" s="4">
        <v>14062000</v>
      </c>
      <c r="L146" s="4">
        <v>11262000</v>
      </c>
    </row>
    <row r="147" spans="1:12" ht="16" x14ac:dyDescent="0.2">
      <c r="A147" s="3" t="s">
        <v>142</v>
      </c>
      <c r="B147" s="4">
        <v>8974000</v>
      </c>
      <c r="C147" s="4">
        <v>7164000</v>
      </c>
      <c r="D147" s="4">
        <v>-9538000</v>
      </c>
      <c r="E147" s="4">
        <v>-12466000</v>
      </c>
      <c r="F147" s="4">
        <v>63378000</v>
      </c>
      <c r="G147" s="4">
        <v>6393000</v>
      </c>
      <c r="H147" s="5">
        <v>27210000</v>
      </c>
      <c r="I147" s="4">
        <v>-17347000</v>
      </c>
      <c r="J147" s="4">
        <v>6771000</v>
      </c>
      <c r="K147" s="4">
        <v>20808000</v>
      </c>
      <c r="L147" s="4">
        <v>16978000</v>
      </c>
    </row>
    <row r="148" spans="1:12" ht="16" x14ac:dyDescent="0.2">
      <c r="A148" s="3" t="s">
        <v>143</v>
      </c>
      <c r="B148" s="4">
        <v>-19274000</v>
      </c>
      <c r="C148" s="4">
        <v>-25322000</v>
      </c>
      <c r="D148" s="4">
        <v>-47510000</v>
      </c>
      <c r="E148" s="4">
        <v>-64248000</v>
      </c>
      <c r="F148" s="4">
        <v>-107112000</v>
      </c>
      <c r="G148" s="4">
        <v>-135701000</v>
      </c>
      <c r="H148" s="5">
        <v>-37462000</v>
      </c>
      <c r="I148" s="4">
        <v>-45638000</v>
      </c>
      <c r="J148" s="4">
        <v>-51963000</v>
      </c>
      <c r="K148" s="4">
        <v>28773000</v>
      </c>
      <c r="L148" s="4">
        <v>31366000</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-4250000</v>
      </c>
      <c r="C150" s="4">
        <v>-1331000</v>
      </c>
      <c r="D150" s="4">
        <v>-10046000</v>
      </c>
      <c r="E150" s="4">
        <v>-4403000</v>
      </c>
      <c r="F150" s="4">
        <v>-737000</v>
      </c>
      <c r="G150" s="4">
        <v>-6565000</v>
      </c>
      <c r="H150" s="5">
        <v>-10759000</v>
      </c>
      <c r="I150" s="4">
        <v>1349000</v>
      </c>
      <c r="J150" s="4">
        <v>4715000</v>
      </c>
      <c r="K150" s="4">
        <v>-15810000</v>
      </c>
      <c r="L150" s="4">
        <v>-1013000</v>
      </c>
    </row>
    <row r="151" spans="1:12" ht="16" x14ac:dyDescent="0.2">
      <c r="A151" s="3" t="s">
        <v>146</v>
      </c>
      <c r="B151" s="4">
        <v>7507000</v>
      </c>
      <c r="C151" s="4">
        <v>18098000</v>
      </c>
      <c r="D151" s="4">
        <v>8860000</v>
      </c>
      <c r="E151" s="4">
        <v>10509000</v>
      </c>
      <c r="F151" s="4">
        <v>40348000</v>
      </c>
      <c r="G151" s="4">
        <v>36292000</v>
      </c>
      <c r="H151" s="5">
        <v>-1769000</v>
      </c>
      <c r="I151" s="4">
        <v>10964000</v>
      </c>
      <c r="J151" s="4">
        <v>6459000</v>
      </c>
      <c r="K151" s="4">
        <v>-9535000</v>
      </c>
      <c r="L151" s="4">
        <v>-9657000</v>
      </c>
    </row>
    <row r="152" spans="1:12" ht="16" x14ac:dyDescent="0.2">
      <c r="A152" s="3" t="s">
        <v>147</v>
      </c>
      <c r="B152" s="4">
        <v>24991000</v>
      </c>
      <c r="C152" s="4">
        <v>15719000</v>
      </c>
      <c r="D152" s="4">
        <v>39158000</v>
      </c>
      <c r="E152" s="4">
        <v>45676000</v>
      </c>
      <c r="F152" s="4">
        <v>130879000</v>
      </c>
      <c r="G152" s="4">
        <v>112367000</v>
      </c>
      <c r="H152" s="5">
        <v>77200000</v>
      </c>
      <c r="I152" s="4">
        <v>15978000</v>
      </c>
      <c r="J152" s="4">
        <v>47560000</v>
      </c>
      <c r="K152" s="4">
        <v>17380000</v>
      </c>
      <c r="L152" s="4">
        <v>-3718000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13832000</v>
      </c>
      <c r="C154" s="4">
        <v>10829000</v>
      </c>
      <c r="D154" s="4">
        <v>24234000</v>
      </c>
      <c r="E154" s="4">
        <v>109091000</v>
      </c>
      <c r="F154" s="4">
        <v>286545000</v>
      </c>
      <c r="G154" s="4">
        <v>418407000</v>
      </c>
      <c r="H154" s="5">
        <v>485004000</v>
      </c>
      <c r="I154" s="4">
        <v>83618000</v>
      </c>
      <c r="J154" s="4">
        <v>114441000</v>
      </c>
      <c r="K154" s="4">
        <v>133787000</v>
      </c>
      <c r="L154" s="4">
        <v>153158000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-7803000</v>
      </c>
      <c r="C159" s="4">
        <v>-15838000</v>
      </c>
      <c r="D159" s="4">
        <v>-23443000</v>
      </c>
      <c r="E159" s="4">
        <v>-25883000</v>
      </c>
      <c r="F159" s="4">
        <v>-9956000</v>
      </c>
      <c r="G159" s="4">
        <v>-35261000</v>
      </c>
      <c r="H159" s="5">
        <v>-30838000</v>
      </c>
      <c r="I159" s="4">
        <v>-9706000</v>
      </c>
      <c r="J159" s="4">
        <v>-10054000</v>
      </c>
      <c r="K159" s="4">
        <v>-8739000</v>
      </c>
      <c r="L159" s="4">
        <v>-2339000</v>
      </c>
    </row>
    <row r="160" spans="1:12" ht="16" x14ac:dyDescent="0.2">
      <c r="A160" s="3" t="s">
        <v>155</v>
      </c>
      <c r="B160" s="4">
        <v>-2351000</v>
      </c>
      <c r="C160" s="4">
        <v>-9662000</v>
      </c>
      <c r="D160" s="4">
        <v>-13315000</v>
      </c>
      <c r="E160" s="4">
        <v>-5415000</v>
      </c>
      <c r="F160" s="4">
        <v>-9956000</v>
      </c>
      <c r="G160" s="4">
        <v>-35261000</v>
      </c>
      <c r="H160" s="5">
        <v>-30838000</v>
      </c>
      <c r="I160" s="4">
        <v>-9706000</v>
      </c>
      <c r="J160" s="4">
        <v>-10054000</v>
      </c>
      <c r="K160" s="4">
        <v>-8739000</v>
      </c>
      <c r="L160" s="4">
        <v>-2339000</v>
      </c>
    </row>
    <row r="161" spans="1:12" ht="16" x14ac:dyDescent="0.2">
      <c r="A161" s="3" t="s">
        <v>156</v>
      </c>
      <c r="B161" s="4">
        <v>-5452000</v>
      </c>
      <c r="C161" s="4">
        <v>-6176000</v>
      </c>
      <c r="D161" s="4">
        <v>-10128000</v>
      </c>
      <c r="E161" s="4">
        <v>-20468000</v>
      </c>
      <c r="F161" s="4" t="s">
        <v>17</v>
      </c>
      <c r="G161" s="4" t="s">
        <v>17</v>
      </c>
      <c r="H161" s="5" t="s">
        <v>17</v>
      </c>
      <c r="I161" s="4" t="s">
        <v>17</v>
      </c>
      <c r="J161" s="4" t="s">
        <v>17</v>
      </c>
      <c r="K161" s="4" t="s">
        <v>17</v>
      </c>
      <c r="L161" s="4" t="s">
        <v>17</v>
      </c>
    </row>
    <row r="162" spans="1:12" ht="16" x14ac:dyDescent="0.2">
      <c r="A162" s="3" t="s">
        <v>157</v>
      </c>
      <c r="B162" s="4" t="s">
        <v>17</v>
      </c>
      <c r="C162" s="4" t="s">
        <v>17</v>
      </c>
      <c r="D162" s="4">
        <v>-176639000</v>
      </c>
      <c r="E162" s="4">
        <v>-1124378000</v>
      </c>
      <c r="F162" s="4">
        <v>-11210000</v>
      </c>
      <c r="G162" s="4">
        <v>-273903000</v>
      </c>
      <c r="H162" s="5">
        <v>-409262000</v>
      </c>
      <c r="I162" s="4">
        <v>-8424000</v>
      </c>
      <c r="J162" s="4">
        <v>-65454000</v>
      </c>
      <c r="K162" s="4">
        <v>-238798000</v>
      </c>
      <c r="L162" s="4">
        <v>-96586000</v>
      </c>
    </row>
    <row r="163" spans="1:12" ht="16" x14ac:dyDescent="0.2">
      <c r="A163" s="3" t="s">
        <v>158</v>
      </c>
      <c r="B163" s="4" t="s">
        <v>17</v>
      </c>
      <c r="C163" s="4" t="s">
        <v>17</v>
      </c>
      <c r="D163" s="4" t="s">
        <v>17</v>
      </c>
      <c r="E163" s="4">
        <v>670184000</v>
      </c>
      <c r="F163" s="4">
        <v>1114309000</v>
      </c>
      <c r="G163" s="4">
        <v>1139814000</v>
      </c>
      <c r="H163" s="5">
        <v>1676004000</v>
      </c>
      <c r="I163" s="4">
        <v>340523000</v>
      </c>
      <c r="J163" s="4">
        <v>280531000</v>
      </c>
      <c r="K163" s="4">
        <v>518989000</v>
      </c>
      <c r="L163" s="4">
        <v>535961000</v>
      </c>
    </row>
    <row r="164" spans="1:12" ht="16" x14ac:dyDescent="0.2">
      <c r="A164" s="3" t="s">
        <v>159</v>
      </c>
      <c r="B164" s="4" t="s">
        <v>17</v>
      </c>
      <c r="C164" s="4" t="s">
        <v>17</v>
      </c>
      <c r="D164" s="4">
        <v>-176639000</v>
      </c>
      <c r="E164" s="4">
        <v>-1794562000</v>
      </c>
      <c r="F164" s="4">
        <v>-1125519000</v>
      </c>
      <c r="G164" s="4">
        <v>-1413717000</v>
      </c>
      <c r="H164" s="5">
        <v>-2085266000</v>
      </c>
      <c r="I164" s="4">
        <v>-348947000</v>
      </c>
      <c r="J164" s="4">
        <v>-345985000</v>
      </c>
      <c r="K164" s="4">
        <v>-757787000</v>
      </c>
      <c r="L164" s="4">
        <v>-632547000</v>
      </c>
    </row>
    <row r="165" spans="1:12" ht="16" x14ac:dyDescent="0.2">
      <c r="A165" s="3" t="s">
        <v>160</v>
      </c>
      <c r="B165" s="4">
        <v>-4957000</v>
      </c>
      <c r="C165" s="4">
        <v>-1618000</v>
      </c>
      <c r="D165" s="4">
        <v>-2138000</v>
      </c>
      <c r="E165" s="4">
        <v>-2363000</v>
      </c>
      <c r="F165" s="4">
        <v>-226505000</v>
      </c>
      <c r="G165" s="4">
        <v>-45878000</v>
      </c>
      <c r="H165" s="5">
        <v>-8337000</v>
      </c>
      <c r="I165" s="4">
        <v>-736000</v>
      </c>
      <c r="J165" s="4">
        <v>-5576000</v>
      </c>
      <c r="K165" s="4" t="s">
        <v>17</v>
      </c>
      <c r="L165" s="4">
        <v>-2025000</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v>-4957000</v>
      </c>
      <c r="C167" s="4">
        <v>-1618000</v>
      </c>
      <c r="D167" s="4">
        <v>-2138000</v>
      </c>
      <c r="E167" s="4">
        <v>-2363000</v>
      </c>
      <c r="F167" s="4">
        <v>-226505000</v>
      </c>
      <c r="G167" s="4">
        <v>-45878000</v>
      </c>
      <c r="H167" s="5">
        <v>-8337000</v>
      </c>
      <c r="I167" s="4">
        <v>-736000</v>
      </c>
      <c r="J167" s="4">
        <v>-5576000</v>
      </c>
      <c r="K167" s="4" t="s">
        <v>17</v>
      </c>
      <c r="L167" s="4">
        <v>-2025000</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t="s">
        <v>17</v>
      </c>
      <c r="C169" s="4" t="s">
        <v>17</v>
      </c>
      <c r="D169" s="4" t="s">
        <v>17</v>
      </c>
      <c r="E169" s="4" t="s">
        <v>17</v>
      </c>
      <c r="F169" s="4">
        <v>-26069000</v>
      </c>
      <c r="G169" s="4">
        <v>-29628000</v>
      </c>
      <c r="H169" s="5">
        <v>-32646000</v>
      </c>
      <c r="I169" s="4">
        <v>-6812000</v>
      </c>
      <c r="J169" s="4">
        <v>-8036000</v>
      </c>
      <c r="K169" s="4">
        <v>-8711000</v>
      </c>
      <c r="L169" s="4">
        <v>-9087000</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-12760000</v>
      </c>
      <c r="C171" s="4">
        <v>-17456000</v>
      </c>
      <c r="D171" s="4">
        <v>-202220000</v>
      </c>
      <c r="E171" s="4">
        <v>-1152624000</v>
      </c>
      <c r="F171" s="4">
        <v>-273740000</v>
      </c>
      <c r="G171" s="4">
        <v>-384670000</v>
      </c>
      <c r="H171" s="5">
        <v>-481083000</v>
      </c>
      <c r="I171" s="4">
        <v>-25678000</v>
      </c>
      <c r="J171" s="4">
        <v>-89120000</v>
      </c>
      <c r="K171" s="4">
        <v>-256248000</v>
      </c>
      <c r="L171" s="4">
        <v>-110037000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t="s">
        <v>17</v>
      </c>
      <c r="C173" s="4" t="s">
        <v>17</v>
      </c>
      <c r="D173" s="4" t="s">
        <v>17</v>
      </c>
      <c r="E173" s="4">
        <v>730207000</v>
      </c>
      <c r="F173" s="4" t="s">
        <v>17</v>
      </c>
      <c r="G173" s="4">
        <v>-3000</v>
      </c>
      <c r="H173" s="5" t="s">
        <v>17</v>
      </c>
      <c r="I173" s="4" t="s">
        <v>17</v>
      </c>
      <c r="J173" s="4" t="s">
        <v>17</v>
      </c>
      <c r="K173" s="4" t="s">
        <v>17</v>
      </c>
      <c r="L173" s="4" t="s">
        <v>17</v>
      </c>
    </row>
    <row r="174" spans="1:12" ht="16" x14ac:dyDescent="0.2">
      <c r="A174" s="3" t="s">
        <v>168</v>
      </c>
      <c r="B174" s="4" t="s">
        <v>17</v>
      </c>
      <c r="C174" s="4" t="s">
        <v>17</v>
      </c>
      <c r="D174" s="4" t="s">
        <v>17</v>
      </c>
      <c r="E174" s="4">
        <v>730207000</v>
      </c>
      <c r="F174" s="4" t="s">
        <v>17</v>
      </c>
      <c r="G174" s="4" t="s">
        <v>17</v>
      </c>
      <c r="H174" s="5" t="s">
        <v>17</v>
      </c>
      <c r="I174" s="4" t="s">
        <v>17</v>
      </c>
      <c r="J174" s="4" t="s">
        <v>17</v>
      </c>
      <c r="K174" s="4" t="s">
        <v>17</v>
      </c>
      <c r="L174" s="4" t="s">
        <v>17</v>
      </c>
    </row>
    <row r="175" spans="1:12" ht="16" x14ac:dyDescent="0.2">
      <c r="A175" s="3" t="s">
        <v>169</v>
      </c>
      <c r="B175" s="4" t="s">
        <v>17</v>
      </c>
      <c r="C175" s="4" t="s">
        <v>17</v>
      </c>
      <c r="D175" s="4" t="s">
        <v>17</v>
      </c>
      <c r="E175" s="4" t="s">
        <v>17</v>
      </c>
      <c r="F175" s="4" t="s">
        <v>17</v>
      </c>
      <c r="G175" s="4">
        <v>-3000</v>
      </c>
      <c r="H175" s="5" t="s">
        <v>17</v>
      </c>
      <c r="I175" s="4" t="s">
        <v>17</v>
      </c>
      <c r="J175" s="4" t="s">
        <v>17</v>
      </c>
      <c r="K175" s="4" t="s">
        <v>17</v>
      </c>
      <c r="L175" s="4" t="s">
        <v>17</v>
      </c>
    </row>
    <row r="176" spans="1:12" ht="16" x14ac:dyDescent="0.2">
      <c r="A176" s="3" t="s">
        <v>170</v>
      </c>
      <c r="B176" s="4" t="s">
        <v>17</v>
      </c>
      <c r="C176" s="4" t="s">
        <v>17</v>
      </c>
      <c r="D176" s="4">
        <v>706317000</v>
      </c>
      <c r="E176" s="4">
        <v>-421000</v>
      </c>
      <c r="F176" s="4" t="s">
        <v>17</v>
      </c>
      <c r="G176" s="4" t="s">
        <v>17</v>
      </c>
      <c r="H176" s="5" t="s">
        <v>17</v>
      </c>
      <c r="I176" s="4" t="s">
        <v>17</v>
      </c>
      <c r="J176" s="4" t="s">
        <v>17</v>
      </c>
      <c r="K176" s="4" t="s">
        <v>17</v>
      </c>
      <c r="L176" s="4" t="s">
        <v>17</v>
      </c>
    </row>
    <row r="177" spans="1:12" ht="16" x14ac:dyDescent="0.2">
      <c r="A177" s="3" t="s">
        <v>171</v>
      </c>
      <c r="B177" s="4" t="s">
        <v>17</v>
      </c>
      <c r="C177" s="4" t="s">
        <v>17</v>
      </c>
      <c r="D177" s="4">
        <v>706317000</v>
      </c>
      <c r="E177" s="4" t="s">
        <v>17</v>
      </c>
      <c r="F177" s="4" t="s">
        <v>17</v>
      </c>
      <c r="G177" s="4" t="s">
        <v>17</v>
      </c>
      <c r="H177" s="5" t="s">
        <v>17</v>
      </c>
      <c r="I177" s="4" t="s">
        <v>17</v>
      </c>
      <c r="J177" s="4" t="s">
        <v>17</v>
      </c>
      <c r="K177" s="4" t="s">
        <v>17</v>
      </c>
      <c r="L177" s="4" t="s">
        <v>17</v>
      </c>
    </row>
    <row r="178" spans="1:12" ht="16" x14ac:dyDescent="0.2">
      <c r="A178" s="3" t="s">
        <v>172</v>
      </c>
      <c r="B178" s="4" t="s">
        <v>17</v>
      </c>
      <c r="C178" s="4" t="s">
        <v>17</v>
      </c>
      <c r="D178" s="4" t="s">
        <v>17</v>
      </c>
      <c r="E178" s="4">
        <v>-421000</v>
      </c>
      <c r="F178" s="4" t="s">
        <v>17</v>
      </c>
      <c r="G178" s="4" t="s">
        <v>17</v>
      </c>
      <c r="H178" s="5" t="s">
        <v>17</v>
      </c>
      <c r="I178" s="4" t="s">
        <v>17</v>
      </c>
      <c r="J178" s="4" t="s">
        <v>17</v>
      </c>
      <c r="K178" s="4" t="s">
        <v>17</v>
      </c>
      <c r="L178" s="4" t="s">
        <v>17</v>
      </c>
    </row>
    <row r="179" spans="1:12" ht="16" x14ac:dyDescent="0.2">
      <c r="A179" s="3" t="s">
        <v>173</v>
      </c>
      <c r="B179" s="4">
        <v>462000</v>
      </c>
      <c r="C179" s="4">
        <v>7782000</v>
      </c>
      <c r="D179" s="4">
        <v>7899000</v>
      </c>
      <c r="E179" s="4">
        <v>-59510000</v>
      </c>
      <c r="F179" s="4">
        <v>34940000</v>
      </c>
      <c r="G179" s="4">
        <v>36026000</v>
      </c>
      <c r="H179" s="5">
        <v>43538000</v>
      </c>
      <c r="I179" s="4">
        <v>1816000</v>
      </c>
      <c r="J179" s="4">
        <v>14202000</v>
      </c>
      <c r="K179" s="4">
        <v>2098000</v>
      </c>
      <c r="L179" s="4">
        <v>25422000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462000</v>
      </c>
      <c r="C181" s="4">
        <v>7782000</v>
      </c>
      <c r="D181" s="4">
        <v>714216000</v>
      </c>
      <c r="E181" s="4">
        <v>670276000</v>
      </c>
      <c r="F181" s="4">
        <v>34940000</v>
      </c>
      <c r="G181" s="4">
        <v>36023000</v>
      </c>
      <c r="H181" s="5">
        <v>43538000</v>
      </c>
      <c r="I181" s="4">
        <v>1816000</v>
      </c>
      <c r="J181" s="4">
        <v>14202000</v>
      </c>
      <c r="K181" s="4">
        <v>2098000</v>
      </c>
      <c r="L181" s="4">
        <v>25422000</v>
      </c>
    </row>
    <row r="182" spans="1:12" ht="16" x14ac:dyDescent="0.2">
      <c r="A182" s="3" t="s">
        <v>175</v>
      </c>
      <c r="B182" s="4">
        <v>-54000</v>
      </c>
      <c r="C182" s="4">
        <v>47000</v>
      </c>
      <c r="D182" s="4">
        <v>-21000</v>
      </c>
      <c r="E182" s="4">
        <v>779000</v>
      </c>
      <c r="F182" s="4">
        <v>-1993000</v>
      </c>
      <c r="G182" s="4">
        <v>-1935000</v>
      </c>
      <c r="H182" s="5">
        <v>1772000</v>
      </c>
      <c r="I182" s="4">
        <v>-3995000</v>
      </c>
      <c r="J182" s="4">
        <v>4931000</v>
      </c>
      <c r="K182" s="4">
        <v>623000</v>
      </c>
      <c r="L182" s="4">
        <v>213000</v>
      </c>
    </row>
    <row r="183" spans="1:12" ht="16" x14ac:dyDescent="0.2">
      <c r="A183" s="3" t="s">
        <v>176</v>
      </c>
      <c r="B183" s="4">
        <v>1534000</v>
      </c>
      <c r="C183" s="4">
        <v>1155000</v>
      </c>
      <c r="D183" s="4">
        <v>536230000</v>
      </c>
      <c r="E183" s="4">
        <v>-373257000</v>
      </c>
      <c r="F183" s="4">
        <v>47745000</v>
      </c>
      <c r="G183" s="4">
        <v>69760000</v>
      </c>
      <c r="H183" s="5">
        <v>47459000</v>
      </c>
      <c r="I183" s="4">
        <v>59756000</v>
      </c>
      <c r="J183" s="4">
        <v>39523000</v>
      </c>
      <c r="K183" s="4">
        <v>-120363000</v>
      </c>
      <c r="L183" s="4">
        <v>68543000</v>
      </c>
    </row>
    <row r="184" spans="1:12" ht="16" x14ac:dyDescent="0.2">
      <c r="A184" s="3" t="s">
        <v>47</v>
      </c>
      <c r="B184" s="4">
        <v>-252000</v>
      </c>
      <c r="C184" s="4">
        <v>-5007000</v>
      </c>
      <c r="D184" s="4">
        <v>-7770000</v>
      </c>
      <c r="E184" s="4">
        <v>1677000</v>
      </c>
      <c r="F184" s="4">
        <v>3782000</v>
      </c>
      <c r="G184" s="4">
        <v>-24066000</v>
      </c>
      <c r="H184" s="5">
        <v>-83004000</v>
      </c>
      <c r="I184" s="4">
        <v>-22029000</v>
      </c>
      <c r="J184" s="4">
        <v>-24824000</v>
      </c>
      <c r="K184" s="4">
        <v>-24695000</v>
      </c>
      <c r="L184" s="4">
        <v>-11456000</v>
      </c>
    </row>
    <row r="185" spans="1:12" ht="16" x14ac:dyDescent="0.2">
      <c r="A185" s="3" t="s">
        <v>48</v>
      </c>
      <c r="B185" s="6">
        <v>-0.25</v>
      </c>
      <c r="C185" s="6">
        <v>-2.5299999999999998</v>
      </c>
      <c r="D185" s="6">
        <v>-2.14</v>
      </c>
      <c r="E185" s="6">
        <v>0.28000000000000003</v>
      </c>
      <c r="F185" s="6">
        <v>0.37</v>
      </c>
      <c r="G185" s="6">
        <v>-1.44</v>
      </c>
      <c r="H185" s="7">
        <v>-4.38</v>
      </c>
      <c r="I185" s="6">
        <v>1.05</v>
      </c>
      <c r="J185" s="6">
        <v>-1.44</v>
      </c>
      <c r="K185" s="6">
        <v>-3.71</v>
      </c>
      <c r="L185" s="6">
        <v>-4.38</v>
      </c>
    </row>
    <row r="186" spans="1:12" ht="16" x14ac:dyDescent="0.2">
      <c r="A186" s="3" t="s">
        <v>177</v>
      </c>
      <c r="B186" s="4">
        <v>4957000</v>
      </c>
      <c r="C186" s="4">
        <v>1618000</v>
      </c>
      <c r="D186" s="4">
        <v>2138000</v>
      </c>
      <c r="E186" s="4">
        <v>2363000</v>
      </c>
      <c r="F186" s="4">
        <v>226505000</v>
      </c>
      <c r="G186" s="4">
        <v>45878000</v>
      </c>
      <c r="H186" s="5">
        <v>8337000</v>
      </c>
      <c r="I186" s="4">
        <v>736000</v>
      </c>
      <c r="J186" s="4">
        <v>5576000</v>
      </c>
      <c r="K186" s="4" t="s">
        <v>17</v>
      </c>
      <c r="L186" s="4">
        <v>2025000</v>
      </c>
    </row>
    <row r="187" spans="1:12" ht="16" x14ac:dyDescent="0.2">
      <c r="A187" s="3" t="s">
        <v>178</v>
      </c>
      <c r="B187" s="4">
        <v>6029000</v>
      </c>
      <c r="C187" s="4">
        <v>-5009000</v>
      </c>
      <c r="D187" s="4">
        <v>791000</v>
      </c>
      <c r="E187" s="4">
        <v>83208000</v>
      </c>
      <c r="F187" s="4">
        <v>276589000</v>
      </c>
      <c r="G187" s="4">
        <v>383146000</v>
      </c>
      <c r="H187" s="5">
        <v>454166000</v>
      </c>
      <c r="I187" s="4">
        <v>73912000</v>
      </c>
      <c r="J187" s="4">
        <v>104387000</v>
      </c>
      <c r="K187" s="4">
        <v>125048000</v>
      </c>
      <c r="L187" s="4">
        <v>150819000</v>
      </c>
    </row>
    <row r="188" spans="1:12" ht="16" x14ac:dyDescent="0.2">
      <c r="A188" s="30" t="s">
        <v>179</v>
      </c>
      <c r="B188" s="26">
        <v>6029000</v>
      </c>
      <c r="C188" s="26">
        <v>-5009000</v>
      </c>
      <c r="D188" s="26">
        <v>791000</v>
      </c>
      <c r="E188" s="26">
        <v>83208000</v>
      </c>
      <c r="F188" s="26">
        <v>276589000</v>
      </c>
      <c r="G188" s="26">
        <v>383146000</v>
      </c>
      <c r="H188" s="27">
        <v>454166000</v>
      </c>
      <c r="I188" s="26">
        <v>73912000</v>
      </c>
      <c r="J188" s="26">
        <v>104387000</v>
      </c>
      <c r="K188" s="26">
        <v>125048000</v>
      </c>
      <c r="L188" s="26">
        <v>150819000</v>
      </c>
    </row>
    <row r="189" spans="1:12" ht="16" x14ac:dyDescent="0.2">
      <c r="A189" s="20" t="s">
        <v>192</v>
      </c>
      <c r="B189" s="21"/>
      <c r="C189" s="22">
        <f>(C188/B188)-1</f>
        <v>-1.8308177143804942</v>
      </c>
      <c r="D189" s="22">
        <f>(D188/C188)-1</f>
        <v>-1.1579157516470353</v>
      </c>
      <c r="E189" s="22">
        <f>(E188/D188)-1</f>
        <v>104.19342604298356</v>
      </c>
      <c r="F189" s="22">
        <f t="shared" ref="F189:L189" si="8">(F188/E188)-1</f>
        <v>2.3240673973656381</v>
      </c>
      <c r="G189" s="22">
        <f t="shared" si="8"/>
        <v>0.38525393273051356</v>
      </c>
      <c r="H189" s="22">
        <f t="shared" si="8"/>
        <v>0.18536014991674188</v>
      </c>
      <c r="I189" s="22"/>
      <c r="J189" s="22">
        <f t="shared" si="8"/>
        <v>0.41231464444203914</v>
      </c>
      <c r="K189" s="22">
        <f t="shared" si="8"/>
        <v>0.19792694492609231</v>
      </c>
      <c r="L189" s="22">
        <f t="shared" si="8"/>
        <v>0.20608886187703912</v>
      </c>
    </row>
    <row r="190" spans="1:12" ht="16" x14ac:dyDescent="0.2">
      <c r="A190" s="23" t="s">
        <v>193</v>
      </c>
      <c r="B190" s="24">
        <f t="shared" ref="B190:L190" si="9">B188/B2</f>
        <v>5.9834658250712082E-2</v>
      </c>
      <c r="C190" s="24">
        <f t="shared" si="9"/>
        <v>-2.5288145519166787E-2</v>
      </c>
      <c r="D190" s="24">
        <f t="shared" si="9"/>
        <v>2.1803848062186449E-3</v>
      </c>
      <c r="E190" s="24">
        <f t="shared" si="9"/>
        <v>0.13788349302197639</v>
      </c>
      <c r="F190" s="24">
        <f t="shared" si="9"/>
        <v>0.268850409804196</v>
      </c>
      <c r="G190" s="24">
        <f t="shared" si="9"/>
        <v>0.22873022506119037</v>
      </c>
      <c r="H190" s="24">
        <f t="shared" si="9"/>
        <v>0.23939937989759139</v>
      </c>
      <c r="I190" s="24">
        <f t="shared" si="9"/>
        <v>0.16931595091321847</v>
      </c>
      <c r="J190" s="24">
        <f t="shared" si="9"/>
        <v>0.22238436809622517</v>
      </c>
      <c r="K190" s="24">
        <f t="shared" si="9"/>
        <v>0.25958971505914297</v>
      </c>
      <c r="L190" s="24">
        <f t="shared" si="9"/>
        <v>0.29603698033211634</v>
      </c>
    </row>
    <row r="191" spans="1:12" ht="16" x14ac:dyDescent="0.2">
      <c r="A191" s="3" t="s">
        <v>180</v>
      </c>
      <c r="B191" s="4" t="s">
        <v>17</v>
      </c>
      <c r="C191" s="4">
        <v>1167000</v>
      </c>
      <c r="D191" s="4">
        <v>10919000</v>
      </c>
      <c r="E191" s="4">
        <v>833883000</v>
      </c>
      <c r="F191" s="4">
        <v>276589000</v>
      </c>
      <c r="G191" s="4">
        <v>383143000</v>
      </c>
      <c r="H191" s="5">
        <v>454166000</v>
      </c>
      <c r="I191" s="4">
        <v>73912000</v>
      </c>
      <c r="J191" s="4">
        <v>104387000</v>
      </c>
      <c r="K191" s="4">
        <v>125048000</v>
      </c>
      <c r="L191" s="4">
        <v>150819000</v>
      </c>
    </row>
    <row r="192" spans="1:12" ht="16" x14ac:dyDescent="0.2">
      <c r="A192" s="3" t="s">
        <v>181</v>
      </c>
      <c r="B192" s="6">
        <v>0.08</v>
      </c>
      <c r="C192" s="6">
        <v>-7.0000000000000007E-2</v>
      </c>
      <c r="D192" s="6">
        <v>0.01</v>
      </c>
      <c r="E192" s="6">
        <v>0.28000000000000003</v>
      </c>
      <c r="F192" s="6">
        <v>0.89</v>
      </c>
      <c r="G192" s="6">
        <v>1.21</v>
      </c>
      <c r="H192" s="7">
        <v>1.42</v>
      </c>
      <c r="I192" s="6">
        <v>0.23</v>
      </c>
      <c r="J192" s="6">
        <v>0.33</v>
      </c>
      <c r="K192" s="6">
        <v>0.39</v>
      </c>
      <c r="L192" s="6">
        <v>0.47</v>
      </c>
    </row>
    <row r="193" spans="1:12" ht="16" x14ac:dyDescent="0.2">
      <c r="A193" s="3" t="s">
        <v>182</v>
      </c>
      <c r="B193" s="4" t="s">
        <v>17</v>
      </c>
      <c r="C193" s="4" t="s">
        <v>17</v>
      </c>
      <c r="D193" s="6">
        <v>110.84</v>
      </c>
      <c r="E193" s="6">
        <v>219.05</v>
      </c>
      <c r="F193" s="6">
        <v>185.65</v>
      </c>
      <c r="G193" s="6">
        <v>51.1</v>
      </c>
      <c r="H193" s="7">
        <v>60.79</v>
      </c>
      <c r="I193" s="4" t="s">
        <v>17</v>
      </c>
      <c r="J193" s="4" t="s">
        <v>17</v>
      </c>
      <c r="K193" s="6">
        <v>53.13</v>
      </c>
      <c r="L193" s="6">
        <v>61.95</v>
      </c>
    </row>
    <row r="194" spans="1:12" ht="16" x14ac:dyDescent="0.2">
      <c r="A194" s="3" t="s">
        <v>183</v>
      </c>
      <c r="B194" s="6">
        <v>-5.38</v>
      </c>
      <c r="C194" s="6">
        <v>-1.01</v>
      </c>
      <c r="D194" s="6">
        <v>-1.45</v>
      </c>
      <c r="E194" s="6">
        <v>-4.4400000000000004</v>
      </c>
      <c r="F194" s="6">
        <v>-13.81</v>
      </c>
      <c r="G194" s="6">
        <v>-8.34</v>
      </c>
      <c r="H194" s="7">
        <v>-5.84</v>
      </c>
      <c r="I194" s="6">
        <v>-3.22</v>
      </c>
      <c r="J194" s="6">
        <v>-3.94</v>
      </c>
      <c r="K194" s="6">
        <v>-5.55</v>
      </c>
      <c r="L194" s="6">
        <v>-38.590000000000003</v>
      </c>
    </row>
    <row r="196" spans="1:12" ht="16" x14ac:dyDescent="0.2">
      <c r="A196" s="8"/>
    </row>
  </sheetData>
  <hyperlinks>
    <hyperlink ref="A1" r:id="rId1" tooltip="ROIC AI" display="ROIC AI" xr:uid="{00000000-0004-0000-0000-000000000000}"/>
  </hyperlinks>
  <pageMargins left="0.7" right="0.7" top="0.75" bottom="0.75" header="0.3" footer="0.3"/>
  <ignoredErrors>
    <ignoredError sqref="B1:L1 A4:L7 A15:L16 A19:L33 A191:L195 A2:L2 A9:L11 A13:L13 A37:L128 A130:L142 A144:L171 A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76105-AA38-DE4B-A641-C2F822250690}">
  <dimension ref="A1:R110"/>
  <sheetViews>
    <sheetView tabSelected="1" workbookViewId="0">
      <selection activeCell="H19" sqref="H19"/>
    </sheetView>
  </sheetViews>
  <sheetFormatPr baseColWidth="10" defaultRowHeight="15" x14ac:dyDescent="0.2"/>
  <cols>
    <col min="1" max="18" width="18.83203125" customWidth="1"/>
  </cols>
  <sheetData>
    <row r="1" spans="1:18" s="109" customFormat="1" ht="22" customHeight="1" x14ac:dyDescent="0.2">
      <c r="A1" s="109" t="e" vm="1">
        <v>#VALUE!</v>
      </c>
    </row>
    <row r="2" spans="1:18" s="109" customFormat="1" ht="22" customHeight="1" thickBot="1" x14ac:dyDescent="0.25"/>
    <row r="3" spans="1:18" ht="22" customHeight="1" x14ac:dyDescent="0.2">
      <c r="A3" s="31" cm="1">
        <f t="array" ref="A3">_FV(A1,"Market cap",TRUE)</f>
        <v>38973039894</v>
      </c>
      <c r="B3" s="32" t="s">
        <v>194</v>
      </c>
      <c r="C3" s="33">
        <f>Financials!H8*0.01</f>
        <v>0.79330000000000001</v>
      </c>
      <c r="D3" s="32" t="s">
        <v>195</v>
      </c>
      <c r="E3" s="33">
        <f>SUM(C11:E11)/3</f>
        <v>0.66549128338273811</v>
      </c>
      <c r="F3" s="34" t="s">
        <v>196</v>
      </c>
      <c r="G3" s="35">
        <f>AVERAGE(Financials!F129:L129)</f>
        <v>8.6087451153757776E-3</v>
      </c>
      <c r="H3" s="34" t="s">
        <v>197</v>
      </c>
      <c r="I3" s="36">
        <f>J15*(1+I7)/(I6-I7)</f>
        <v>19570816753.160015</v>
      </c>
      <c r="J3" s="37" t="s">
        <v>198</v>
      </c>
      <c r="K3" s="38">
        <f>(Financials!H172*-1)/A3</f>
        <v>0</v>
      </c>
      <c r="L3" s="39" t="s">
        <v>199</v>
      </c>
      <c r="M3" s="40"/>
      <c r="N3" s="110" t="s">
        <v>200</v>
      </c>
      <c r="O3" s="111"/>
      <c r="P3" s="40"/>
      <c r="Q3" s="40"/>
      <c r="R3" s="40"/>
    </row>
    <row r="4" spans="1:18" ht="22" customHeight="1" x14ac:dyDescent="0.2">
      <c r="A4" s="41">
        <f>Financials!H56-Financials!H96-Financials!H105</f>
        <v>1300278000</v>
      </c>
      <c r="B4" s="42" t="s">
        <v>201</v>
      </c>
      <c r="C4" s="43">
        <f>Financials!H17*0.01</f>
        <v>-6.480000000000001E-2</v>
      </c>
      <c r="D4" s="42" t="s">
        <v>202</v>
      </c>
      <c r="E4" s="43">
        <f>SUM(C13:E13)/3</f>
        <v>0.57734869535946298</v>
      </c>
      <c r="F4" s="44" t="s">
        <v>203</v>
      </c>
      <c r="G4" s="45">
        <f>A5*(1+(5*G3))</f>
        <v>342695875.3000682</v>
      </c>
      <c r="H4" s="44" t="s">
        <v>204</v>
      </c>
      <c r="I4" s="46">
        <f>NPV(I6,F15,G15,H15,I15,(J15+I3))</f>
        <v>15468707061.566698</v>
      </c>
      <c r="J4" s="44" t="s">
        <v>205</v>
      </c>
      <c r="K4" s="47" cm="1">
        <f t="array" ref="K4">_FV(A1,"Change (%)",TRUE)</f>
        <v>1.7586000000000001E-2</v>
      </c>
      <c r="L4" s="48" t="s">
        <v>206</v>
      </c>
      <c r="M4" s="40"/>
      <c r="N4" s="112" t="s">
        <v>207</v>
      </c>
      <c r="O4" s="113"/>
      <c r="P4" s="40"/>
      <c r="Q4" s="40"/>
      <c r="R4" s="40"/>
    </row>
    <row r="5" spans="1:18" ht="22" customHeight="1" x14ac:dyDescent="0.2">
      <c r="A5" s="41" cm="1">
        <f t="array" ref="A5">_FV(A1,"Shares outstanding",TRUE)</f>
        <v>328553700</v>
      </c>
      <c r="B5" s="42" t="s">
        <v>208</v>
      </c>
      <c r="C5" s="43">
        <f>F14</f>
        <v>0.25510688836104511</v>
      </c>
      <c r="D5" s="102" t="s">
        <v>209</v>
      </c>
      <c r="E5" s="43">
        <f>SUM(C16:E16)/3</f>
        <v>3.3406029475278882</v>
      </c>
      <c r="F5" s="44" t="s">
        <v>210</v>
      </c>
      <c r="G5" s="45">
        <f>Financials!H56</f>
        <v>2185362000</v>
      </c>
      <c r="H5" s="44" t="s">
        <v>211</v>
      </c>
      <c r="I5" s="46">
        <f>I4+G5-G6</f>
        <v>16768985061.566696</v>
      </c>
      <c r="J5" s="44" t="s">
        <v>212</v>
      </c>
      <c r="K5" s="49" cm="1">
        <f t="array" ref="K5">_FV(A1,"Price")</f>
        <v>118.62</v>
      </c>
      <c r="L5" s="50" t="s">
        <v>213</v>
      </c>
      <c r="M5" s="40"/>
      <c r="N5" s="51" t="s">
        <v>214</v>
      </c>
      <c r="O5" s="52">
        <f>Financials!H20</f>
        <v>-54388000</v>
      </c>
      <c r="P5" s="40"/>
      <c r="Q5" s="40"/>
      <c r="R5" s="40"/>
    </row>
    <row r="6" spans="1:18" ht="22" customHeight="1" x14ac:dyDescent="0.2">
      <c r="A6" s="53">
        <f>O20/F10</f>
        <v>18.514508263182897</v>
      </c>
      <c r="B6" s="42" t="s">
        <v>215</v>
      </c>
      <c r="C6" s="43">
        <f>F17</f>
        <v>0.18004750593824229</v>
      </c>
      <c r="D6" s="102" t="s">
        <v>193</v>
      </c>
      <c r="E6" s="43">
        <f>Financials!H33/Financials!H126</f>
        <v>-5.0367445777420194E-2</v>
      </c>
      <c r="F6" s="42" t="s">
        <v>216</v>
      </c>
      <c r="G6" s="45">
        <f>Financials!H96+Financials!H105</f>
        <v>885084000</v>
      </c>
      <c r="H6" s="44" t="s">
        <v>217</v>
      </c>
      <c r="I6" s="47">
        <f>N25</f>
        <v>8.7848680027694664E-2</v>
      </c>
      <c r="J6" s="44" t="s">
        <v>218</v>
      </c>
      <c r="K6" s="54">
        <f>I5/G4</f>
        <v>48.932555861326293</v>
      </c>
      <c r="L6" s="55" t="s">
        <v>219</v>
      </c>
      <c r="M6" s="40"/>
      <c r="N6" s="51" t="s">
        <v>220</v>
      </c>
      <c r="O6" s="52">
        <f>Financials!H96</f>
        <v>18852000</v>
      </c>
      <c r="P6" s="40"/>
      <c r="Q6" s="40"/>
      <c r="R6" s="40"/>
    </row>
    <row r="7" spans="1:18" ht="22" customHeight="1" thickBot="1" x14ac:dyDescent="0.25">
      <c r="A7" s="56">
        <f>O20/F12</f>
        <v>72.575493284916206</v>
      </c>
      <c r="B7" s="57" t="s">
        <v>221</v>
      </c>
      <c r="C7" s="58">
        <f>F15/A3</f>
        <v>9.7246712350592904E-3</v>
      </c>
      <c r="D7" s="57" t="s">
        <v>222</v>
      </c>
      <c r="E7" s="59">
        <f>(Financials!H16*(1-0.25))/(Financials!H126+Financials!H105+Financials!H96)</f>
        <v>-3.6382550327626231E-2</v>
      </c>
      <c r="F7" s="57" t="s">
        <v>189</v>
      </c>
      <c r="G7" s="60">
        <f>(Financials!H96+Financials!H105)/Financials!H126</f>
        <v>0.53662301536536317</v>
      </c>
      <c r="H7" s="61" t="s">
        <v>223</v>
      </c>
      <c r="I7" s="62">
        <v>2.5000000000000001E-2</v>
      </c>
      <c r="J7" s="63" t="s">
        <v>224</v>
      </c>
      <c r="K7" s="64">
        <f>K6/K5-1</f>
        <v>-0.58748477608054039</v>
      </c>
      <c r="L7" s="65" t="s">
        <v>225</v>
      </c>
      <c r="M7" s="40"/>
      <c r="N7" s="51" t="s">
        <v>226</v>
      </c>
      <c r="O7" s="52">
        <f>Financials!H105</f>
        <v>866232000</v>
      </c>
      <c r="P7" s="40"/>
      <c r="Q7" s="40"/>
      <c r="R7" s="40"/>
    </row>
    <row r="8" spans="1:18" ht="22" customHeight="1" x14ac:dyDescent="0.2">
      <c r="A8" s="66"/>
      <c r="B8" s="40"/>
      <c r="C8" s="40"/>
      <c r="D8" s="40"/>
      <c r="E8" s="40"/>
      <c r="F8" s="40"/>
      <c r="G8" s="40"/>
      <c r="H8" s="40"/>
      <c r="I8" s="40"/>
      <c r="J8" s="40"/>
      <c r="K8" s="40"/>
      <c r="L8" s="40"/>
      <c r="M8" s="40"/>
      <c r="N8" s="67" t="s">
        <v>207</v>
      </c>
      <c r="O8" s="68">
        <f>O5/(O6+O7)</f>
        <v>-6.1449534733426431E-2</v>
      </c>
      <c r="P8" s="40"/>
      <c r="Q8" s="40"/>
      <c r="R8" s="40"/>
    </row>
    <row r="9" spans="1:18" ht="22" customHeight="1" x14ac:dyDescent="0.2">
      <c r="A9" s="69"/>
      <c r="B9" s="70">
        <v>2019</v>
      </c>
      <c r="C9" s="70">
        <v>2020</v>
      </c>
      <c r="D9" s="70">
        <v>2021</v>
      </c>
      <c r="E9" s="70">
        <v>2022</v>
      </c>
      <c r="F9" s="103">
        <v>2023</v>
      </c>
      <c r="G9" s="71">
        <v>2024</v>
      </c>
      <c r="H9" s="71">
        <v>2025</v>
      </c>
      <c r="I9" s="71">
        <v>2026</v>
      </c>
      <c r="J9" s="72">
        <v>2027</v>
      </c>
      <c r="K9" s="73"/>
      <c r="L9" s="74"/>
      <c r="M9" s="74"/>
      <c r="N9" s="51" t="s">
        <v>227</v>
      </c>
      <c r="O9" s="52">
        <f>Financials!H25</f>
        <v>12829000</v>
      </c>
      <c r="P9" s="40"/>
      <c r="Q9" s="40"/>
      <c r="R9" s="40"/>
    </row>
    <row r="10" spans="1:18" ht="22" customHeight="1" x14ac:dyDescent="0.2">
      <c r="A10" s="75" t="s">
        <v>228</v>
      </c>
      <c r="B10" s="76">
        <v>362780000</v>
      </c>
      <c r="C10" s="76">
        <v>603466000</v>
      </c>
      <c r="D10" s="76">
        <v>1028784000</v>
      </c>
      <c r="E10" s="76">
        <v>1675100000</v>
      </c>
      <c r="F10" s="77">
        <v>2105000000</v>
      </c>
      <c r="G10" s="76">
        <v>2553000000</v>
      </c>
      <c r="H10" s="76">
        <v>3206000000</v>
      </c>
      <c r="I10" s="76">
        <v>4731000000</v>
      </c>
      <c r="J10" s="78">
        <v>5885000000</v>
      </c>
      <c r="K10" s="79" t="s">
        <v>229</v>
      </c>
      <c r="L10" s="74"/>
      <c r="N10" s="51" t="s">
        <v>230</v>
      </c>
      <c r="O10" s="52">
        <f>Financials!H24</f>
        <v>-70245000</v>
      </c>
      <c r="P10" s="40"/>
      <c r="Q10" s="40"/>
      <c r="R10" s="40"/>
    </row>
    <row r="11" spans="1:18" ht="22" customHeight="1" x14ac:dyDescent="0.2">
      <c r="A11" s="80"/>
      <c r="B11" s="81"/>
      <c r="C11" s="81">
        <f t="shared" ref="C11:J11" si="0">(C10/B10)-1</f>
        <v>0.66344892221180873</v>
      </c>
      <c r="D11" s="81">
        <f t="shared" si="0"/>
        <v>0.70479198496684159</v>
      </c>
      <c r="E11" s="81">
        <f t="shared" si="0"/>
        <v>0.62823294296956411</v>
      </c>
      <c r="F11" s="82">
        <f t="shared" si="0"/>
        <v>0.25664139454360924</v>
      </c>
      <c r="G11" s="81">
        <f t="shared" si="0"/>
        <v>0.21282660332541559</v>
      </c>
      <c r="H11" s="81">
        <f t="shared" si="0"/>
        <v>0.25577751664708193</v>
      </c>
      <c r="I11" s="81">
        <f t="shared" si="0"/>
        <v>0.4756706175920149</v>
      </c>
      <c r="J11" s="83">
        <f t="shared" si="0"/>
        <v>0.2439230606637075</v>
      </c>
      <c r="K11" s="84">
        <f>AVERAGE(G11:J11)</f>
        <v>0.29704944955705498</v>
      </c>
      <c r="L11" s="74"/>
      <c r="M11" s="74"/>
      <c r="N11" s="51" t="s">
        <v>231</v>
      </c>
      <c r="O11" s="85">
        <f>O9/O10</f>
        <v>-0.18263221581607231</v>
      </c>
      <c r="P11" s="40"/>
      <c r="Q11" s="40"/>
      <c r="R11" s="40"/>
    </row>
    <row r="12" spans="1:18" ht="22" customHeight="1" x14ac:dyDescent="0.2">
      <c r="A12" s="75" t="s">
        <v>135</v>
      </c>
      <c r="B12" s="76">
        <v>-16710000</v>
      </c>
      <c r="C12" s="76">
        <v>-24547000</v>
      </c>
      <c r="D12" s="76">
        <v>-20745000</v>
      </c>
      <c r="E12" s="76">
        <v>-50160000</v>
      </c>
      <c r="F12" s="77">
        <v>537000000</v>
      </c>
      <c r="G12" s="76">
        <v>627000000</v>
      </c>
      <c r="H12" s="76">
        <v>788000000</v>
      </c>
      <c r="I12" s="76">
        <v>1401000000</v>
      </c>
      <c r="J12" s="78">
        <v>1800000000</v>
      </c>
      <c r="K12" s="79" t="s">
        <v>232</v>
      </c>
      <c r="L12" s="74"/>
      <c r="M12" s="74"/>
      <c r="N12" s="51" t="s">
        <v>233</v>
      </c>
      <c r="O12" s="85">
        <f>O8*(1-O11)</f>
        <v>-7.267219942265879E-2</v>
      </c>
      <c r="P12" s="40"/>
      <c r="Q12" s="40"/>
      <c r="R12" s="40"/>
    </row>
    <row r="13" spans="1:18" ht="22" customHeight="1" x14ac:dyDescent="0.2">
      <c r="A13" s="80"/>
      <c r="B13" s="81"/>
      <c r="C13" s="81">
        <f t="shared" ref="C13:J13" si="1">(C12/B12)-1</f>
        <v>0.46900059844404551</v>
      </c>
      <c r="D13" s="81">
        <f t="shared" si="1"/>
        <v>-0.15488654418055159</v>
      </c>
      <c r="E13" s="83">
        <f t="shared" si="1"/>
        <v>1.4179320318148951</v>
      </c>
      <c r="F13" s="81">
        <f t="shared" si="1"/>
        <v>-11.705741626794259</v>
      </c>
      <c r="G13" s="81">
        <f t="shared" si="1"/>
        <v>0.16759776536312843</v>
      </c>
      <c r="H13" s="81">
        <f t="shared" si="1"/>
        <v>0.25677830940988833</v>
      </c>
      <c r="I13" s="81">
        <f t="shared" si="1"/>
        <v>0.77791878172588835</v>
      </c>
      <c r="J13" s="83">
        <f t="shared" si="1"/>
        <v>0.28479657387580293</v>
      </c>
      <c r="K13" s="84">
        <f>AVERAGE(G13:J13)</f>
        <v>0.37177285759367701</v>
      </c>
      <c r="L13" s="74"/>
      <c r="M13" s="74"/>
      <c r="N13" s="112" t="s">
        <v>234</v>
      </c>
      <c r="O13" s="113"/>
      <c r="P13" s="40"/>
      <c r="Q13" s="40"/>
      <c r="R13" s="40"/>
    </row>
    <row r="14" spans="1:18" ht="22" customHeight="1" x14ac:dyDescent="0.2">
      <c r="A14" s="101" t="s">
        <v>235</v>
      </c>
      <c r="B14" s="86">
        <f>B12/B10</f>
        <v>-4.6060973592811069E-2</v>
      </c>
      <c r="C14" s="86">
        <f t="shared" ref="C14:J14" si="2">C12/C10</f>
        <v>-4.067669098176202E-2</v>
      </c>
      <c r="D14" s="86">
        <f t="shared" si="2"/>
        <v>-2.0164582652918397E-2</v>
      </c>
      <c r="E14" s="86">
        <f t="shared" si="2"/>
        <v>-2.9944480926511849E-2</v>
      </c>
      <c r="F14" s="87">
        <f t="shared" si="2"/>
        <v>0.25510688836104511</v>
      </c>
      <c r="G14" s="86">
        <f t="shared" si="2"/>
        <v>0.24559341950646299</v>
      </c>
      <c r="H14" s="86">
        <f t="shared" si="2"/>
        <v>0.24578914535246413</v>
      </c>
      <c r="I14" s="86">
        <f t="shared" si="2"/>
        <v>0.29613189600507295</v>
      </c>
      <c r="J14" s="88">
        <f t="shared" si="2"/>
        <v>0.30586236193712829</v>
      </c>
      <c r="K14" s="88"/>
      <c r="L14" s="74"/>
      <c r="M14" s="74"/>
      <c r="N14" s="51" t="s">
        <v>236</v>
      </c>
      <c r="O14" s="85">
        <f>'[1]US Treasury Bonds'!$C$8</f>
        <v>4.2709999999999998E-2</v>
      </c>
      <c r="P14" s="40"/>
      <c r="Q14" s="40"/>
      <c r="R14" s="40"/>
    </row>
    <row r="15" spans="1:18" ht="22" customHeight="1" x14ac:dyDescent="0.2">
      <c r="A15" s="75" t="s">
        <v>178</v>
      </c>
      <c r="B15" s="76">
        <v>10010000</v>
      </c>
      <c r="C15" s="76">
        <v>83208000</v>
      </c>
      <c r="D15" s="76">
        <v>276589000</v>
      </c>
      <c r="E15" s="76">
        <v>383146000</v>
      </c>
      <c r="F15" s="77">
        <v>379000000</v>
      </c>
      <c r="G15" s="76">
        <v>411000000</v>
      </c>
      <c r="H15" s="76">
        <v>577000000</v>
      </c>
      <c r="I15" s="76">
        <v>968000000</v>
      </c>
      <c r="J15" s="78">
        <v>1200000000</v>
      </c>
      <c r="K15" s="79" t="s">
        <v>237</v>
      </c>
      <c r="L15" s="74"/>
      <c r="M15" s="74"/>
      <c r="N15" s="51" t="s">
        <v>238</v>
      </c>
      <c r="O15" s="89" cm="1">
        <f t="array" ref="O15">_FV(A1,"Beta")</f>
        <v>1.1815</v>
      </c>
      <c r="P15" s="40"/>
      <c r="Q15" s="40"/>
      <c r="R15" s="40"/>
    </row>
    <row r="16" spans="1:18" ht="22" customHeight="1" x14ac:dyDescent="0.2">
      <c r="A16" s="90"/>
      <c r="B16" s="81"/>
      <c r="C16" s="81">
        <f t="shared" ref="C16:J16" si="3">(C15/B15)-1</f>
        <v>7.3124875124875128</v>
      </c>
      <c r="D16" s="81">
        <f t="shared" si="3"/>
        <v>2.3240673973656381</v>
      </c>
      <c r="E16" s="81">
        <f t="shared" si="3"/>
        <v>0.38525393273051356</v>
      </c>
      <c r="F16" s="82">
        <f t="shared" si="3"/>
        <v>-1.0820940320400041E-2</v>
      </c>
      <c r="G16" s="81">
        <f t="shared" si="3"/>
        <v>8.4432717678100344E-2</v>
      </c>
      <c r="H16" s="81">
        <f t="shared" si="3"/>
        <v>0.40389294403892939</v>
      </c>
      <c r="I16" s="81">
        <f t="shared" si="3"/>
        <v>0.67764298093587527</v>
      </c>
      <c r="J16" s="83">
        <f t="shared" si="3"/>
        <v>0.2396694214876034</v>
      </c>
      <c r="K16" s="84">
        <f>AVERAGE(G16:J16)</f>
        <v>0.3514095160351271</v>
      </c>
      <c r="L16" s="74"/>
      <c r="M16" s="74"/>
      <c r="N16" s="51" t="s">
        <v>239</v>
      </c>
      <c r="O16" s="85">
        <v>8.4000000000000005E-2</v>
      </c>
      <c r="P16" s="40"/>
      <c r="Q16" s="40"/>
      <c r="R16" s="40"/>
    </row>
    <row r="17" spans="1:18" ht="22" customHeight="1" x14ac:dyDescent="0.2">
      <c r="A17" s="101" t="s">
        <v>193</v>
      </c>
      <c r="B17" s="86">
        <f>B15/B10</f>
        <v>2.7592480291085505E-2</v>
      </c>
      <c r="C17" s="86">
        <f t="shared" ref="C17:J17" si="4">C15/C10</f>
        <v>0.13788349302197639</v>
      </c>
      <c r="D17" s="86">
        <f t="shared" si="4"/>
        <v>0.268850409804196</v>
      </c>
      <c r="E17" s="88">
        <f t="shared" si="4"/>
        <v>0.22873022506119037</v>
      </c>
      <c r="F17" s="86">
        <f t="shared" si="4"/>
        <v>0.18004750593824229</v>
      </c>
      <c r="G17" s="86">
        <f t="shared" si="4"/>
        <v>0.16098707403055229</v>
      </c>
      <c r="H17" s="86">
        <f t="shared" si="4"/>
        <v>0.17997504678727386</v>
      </c>
      <c r="I17" s="86">
        <f t="shared" si="4"/>
        <v>0.20460790530543224</v>
      </c>
      <c r="J17" s="88">
        <f t="shared" si="4"/>
        <v>0.20390824129141885</v>
      </c>
      <c r="K17" s="88"/>
      <c r="L17" s="74"/>
      <c r="M17" s="74"/>
      <c r="N17" s="91" t="s">
        <v>234</v>
      </c>
      <c r="O17" s="92">
        <f>(O14)+((O15)*(O16-O14))</f>
        <v>9.1494135000000004E-2</v>
      </c>
      <c r="P17" s="40"/>
      <c r="Q17" s="40"/>
      <c r="R17" s="40"/>
    </row>
    <row r="18" spans="1:18" ht="22" customHeight="1" x14ac:dyDescent="0.2">
      <c r="A18" s="93" t="s">
        <v>189</v>
      </c>
      <c r="B18" s="94">
        <v>-1.7923103301386977E-2</v>
      </c>
      <c r="C18" s="94">
        <v>-6.4518395682846624E-3</v>
      </c>
      <c r="D18" s="94">
        <v>-7.7703645532486579E-3</v>
      </c>
      <c r="E18" s="94">
        <v>-1.9582180099340488E-2</v>
      </c>
      <c r="F18" s="95"/>
      <c r="G18" s="94"/>
      <c r="H18" s="94"/>
      <c r="I18" s="94"/>
      <c r="J18" s="96"/>
      <c r="K18" s="97"/>
      <c r="L18" s="74"/>
      <c r="M18" s="74"/>
      <c r="N18" s="112" t="s">
        <v>240</v>
      </c>
      <c r="O18" s="113"/>
      <c r="P18" s="40"/>
      <c r="Q18" s="40"/>
      <c r="R18" s="40"/>
    </row>
    <row r="19" spans="1:18" ht="22" customHeight="1" x14ac:dyDescent="0.2">
      <c r="A19" s="74"/>
      <c r="B19" s="74"/>
      <c r="C19" s="74"/>
      <c r="D19" s="74"/>
      <c r="E19" s="74"/>
      <c r="F19" s="74"/>
      <c r="G19" s="74"/>
      <c r="H19" s="74"/>
      <c r="I19" s="74"/>
      <c r="J19" s="74"/>
      <c r="K19" s="74"/>
      <c r="L19" s="74"/>
      <c r="M19" s="74"/>
      <c r="N19" s="51" t="s">
        <v>217</v>
      </c>
      <c r="O19" s="98">
        <f>O6+O7</f>
        <v>885084000</v>
      </c>
      <c r="P19" s="40"/>
      <c r="Q19" s="40"/>
      <c r="R19" s="40"/>
    </row>
    <row r="20" spans="1:18" ht="22" customHeight="1" x14ac:dyDescent="0.2">
      <c r="A20" s="74"/>
      <c r="B20" s="74"/>
      <c r="C20" s="74"/>
      <c r="D20" s="74"/>
      <c r="E20" s="74"/>
      <c r="F20" s="74"/>
      <c r="G20" s="74"/>
      <c r="H20" s="74"/>
      <c r="I20" s="74"/>
      <c r="J20" s="74"/>
      <c r="K20" s="74"/>
      <c r="L20" s="74"/>
      <c r="M20" s="74"/>
      <c r="N20" s="51" t="s">
        <v>194</v>
      </c>
      <c r="O20" s="98" cm="1">
        <f t="array" ref="O20">_FV(A1,"Market cap",TRUE)</f>
        <v>38973039894</v>
      </c>
      <c r="P20" s="40"/>
      <c r="Q20" s="40"/>
      <c r="R20" s="40"/>
    </row>
    <row r="21" spans="1:18" ht="22" customHeight="1" x14ac:dyDescent="0.2">
      <c r="A21" s="104" t="str" cm="1">
        <f t="array" ref="A21">_FV(A1,"Industry")</f>
        <v>Software &amp; IT Services</v>
      </c>
      <c r="B21" s="104"/>
      <c r="C21" s="104"/>
      <c r="D21" s="114" cm="1">
        <f t="array" ref="D21">_FV(A1,"Year incorporated",TRUE)</f>
        <v>2010</v>
      </c>
      <c r="E21" s="115"/>
      <c r="F21" s="74"/>
      <c r="G21" s="74"/>
      <c r="H21" s="74"/>
      <c r="I21" s="74"/>
      <c r="J21" s="74"/>
      <c r="K21" s="74"/>
      <c r="M21" s="74"/>
      <c r="N21" s="51" t="s">
        <v>241</v>
      </c>
      <c r="O21" s="98">
        <f>O19+O20</f>
        <v>39858123894</v>
      </c>
      <c r="P21" s="40"/>
      <c r="Q21" s="40"/>
      <c r="R21" s="40"/>
    </row>
    <row r="22" spans="1:18" ht="22" customHeight="1" x14ac:dyDescent="0.2">
      <c r="A22" s="104" t="str" cm="1">
        <f t="array" ref="A22">_FV(A1,"Description")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B22" s="104"/>
      <c r="C22" s="104"/>
      <c r="D22" s="104"/>
      <c r="E22" s="104"/>
      <c r="F22" s="74"/>
      <c r="G22" s="74"/>
      <c r="H22" s="74"/>
      <c r="I22" s="74"/>
      <c r="J22" s="74"/>
      <c r="K22" s="74"/>
      <c r="L22" s="74"/>
      <c r="M22" s="74"/>
      <c r="N22" s="67" t="s">
        <v>242</v>
      </c>
      <c r="O22" s="99">
        <f>(O19/O21)</f>
        <v>2.2205862030882872E-2</v>
      </c>
      <c r="P22" s="40"/>
      <c r="Q22" s="40"/>
      <c r="R22" s="40"/>
    </row>
    <row r="23" spans="1:18" ht="22" customHeight="1" x14ac:dyDescent="0.2">
      <c r="A23" s="104"/>
      <c r="B23" s="104"/>
      <c r="C23" s="104"/>
      <c r="D23" s="104"/>
      <c r="E23" s="104"/>
      <c r="F23" s="74"/>
      <c r="G23" s="74"/>
      <c r="H23" s="74"/>
      <c r="I23" s="74"/>
      <c r="J23" s="74"/>
      <c r="K23" s="74"/>
      <c r="L23" s="74"/>
      <c r="M23" s="74"/>
      <c r="N23" s="91" t="s">
        <v>243</v>
      </c>
      <c r="O23" s="100">
        <f>O20/O21</f>
        <v>0.97779413796911707</v>
      </c>
      <c r="P23" s="40"/>
      <c r="Q23" s="40"/>
      <c r="R23" s="40"/>
    </row>
    <row r="24" spans="1:18" ht="22" customHeight="1" x14ac:dyDescent="0.2">
      <c r="A24" s="104"/>
      <c r="B24" s="104"/>
      <c r="C24" s="104"/>
      <c r="D24" s="104"/>
      <c r="E24" s="104"/>
      <c r="F24" s="74"/>
      <c r="G24" s="74"/>
      <c r="H24" s="74"/>
      <c r="I24" s="74"/>
      <c r="J24" s="74"/>
      <c r="K24" s="74"/>
      <c r="L24" s="74"/>
      <c r="M24" s="74"/>
      <c r="N24" s="105" t="s">
        <v>244</v>
      </c>
      <c r="O24" s="106"/>
      <c r="P24" s="40"/>
      <c r="Q24" s="40"/>
      <c r="R24" s="40"/>
    </row>
    <row r="25" spans="1:18" ht="22" customHeight="1" x14ac:dyDescent="0.2">
      <c r="A25" s="104"/>
      <c r="B25" s="104"/>
      <c r="C25" s="104"/>
      <c r="D25" s="104"/>
      <c r="E25" s="104"/>
      <c r="F25" s="74"/>
      <c r="G25" s="74"/>
      <c r="H25" s="74"/>
      <c r="I25" s="74"/>
      <c r="J25" s="74"/>
      <c r="K25" s="74"/>
      <c r="L25" s="74"/>
      <c r="M25" s="74"/>
      <c r="N25" s="107">
        <f>(O22*O12)+(O23*O17)</f>
        <v>8.7848680027694664E-2</v>
      </c>
      <c r="O25" s="108"/>
      <c r="P25" s="40"/>
      <c r="Q25" s="40"/>
      <c r="R25" s="40"/>
    </row>
    <row r="26" spans="1:18" ht="22" customHeight="1" x14ac:dyDescent="0.2">
      <c r="A26" s="104"/>
      <c r="B26" s="104"/>
      <c r="C26" s="104"/>
      <c r="D26" s="104"/>
      <c r="E26" s="104"/>
      <c r="F26" s="74"/>
      <c r="G26" s="74"/>
      <c r="H26" s="74"/>
      <c r="I26" s="74"/>
      <c r="J26" s="74"/>
      <c r="K26" s="74"/>
      <c r="L26" s="74"/>
      <c r="M26" s="74"/>
      <c r="N26" s="74"/>
      <c r="O26" s="40"/>
      <c r="P26" s="40"/>
      <c r="Q26" s="40"/>
      <c r="R26" s="40"/>
    </row>
    <row r="27" spans="1:18" ht="22" customHeight="1" x14ac:dyDescent="0.2">
      <c r="A27" s="104"/>
      <c r="B27" s="104"/>
      <c r="C27" s="104"/>
      <c r="D27" s="104"/>
      <c r="E27" s="104"/>
      <c r="F27" s="74"/>
      <c r="G27" s="74"/>
      <c r="H27" s="74"/>
      <c r="I27" s="74"/>
      <c r="J27" s="74"/>
      <c r="K27" s="74"/>
      <c r="L27" s="74"/>
      <c r="M27" s="74"/>
      <c r="N27" s="74"/>
      <c r="O27" s="40"/>
      <c r="P27" s="40"/>
      <c r="Q27" s="40"/>
      <c r="R27" s="40"/>
    </row>
    <row r="28" spans="1:18" ht="22" customHeight="1" x14ac:dyDescent="0.2">
      <c r="A28" s="104"/>
      <c r="B28" s="104"/>
      <c r="C28" s="104"/>
      <c r="D28" s="104"/>
      <c r="E28" s="104"/>
      <c r="F28" s="74"/>
      <c r="G28" s="74"/>
      <c r="H28" s="74"/>
      <c r="I28" s="74"/>
      <c r="J28" s="74"/>
      <c r="K28" s="74"/>
      <c r="L28" s="74"/>
      <c r="M28" s="74"/>
      <c r="N28" s="74"/>
      <c r="O28" s="40"/>
      <c r="P28" s="40"/>
      <c r="Q28" s="40"/>
      <c r="R28" s="40"/>
    </row>
    <row r="29" spans="1:18" ht="22" customHeight="1" x14ac:dyDescent="0.2">
      <c r="A29" s="104"/>
      <c r="B29" s="104"/>
      <c r="C29" s="104"/>
      <c r="D29" s="104"/>
      <c r="E29" s="104"/>
      <c r="F29" s="74"/>
      <c r="G29" s="74"/>
      <c r="H29" s="74"/>
      <c r="I29" s="74"/>
      <c r="J29" s="74"/>
      <c r="K29" s="74"/>
      <c r="L29" s="74"/>
      <c r="M29" s="74"/>
      <c r="N29" s="74"/>
      <c r="O29" s="40"/>
      <c r="P29" s="40"/>
      <c r="Q29" s="40"/>
      <c r="R29" s="40"/>
    </row>
    <row r="30" spans="1:18" ht="22" customHeight="1" x14ac:dyDescent="0.2">
      <c r="A30" s="104"/>
      <c r="B30" s="104"/>
      <c r="C30" s="104"/>
      <c r="D30" s="104"/>
      <c r="E30" s="104"/>
      <c r="F30" s="74"/>
      <c r="G30" s="74"/>
      <c r="H30" s="74"/>
      <c r="I30" s="74"/>
      <c r="J30" s="74"/>
      <c r="K30" s="74"/>
      <c r="L30" s="74"/>
      <c r="M30" s="74"/>
      <c r="N30" s="74"/>
      <c r="O30" s="40"/>
      <c r="P30" s="40"/>
      <c r="Q30" s="40"/>
      <c r="R30" s="40"/>
    </row>
    <row r="31" spans="1:18" x14ac:dyDescent="0.2">
      <c r="A31" s="104"/>
      <c r="B31" s="104"/>
      <c r="C31" s="104"/>
      <c r="D31" s="104"/>
      <c r="E31" s="104"/>
      <c r="F31" s="40"/>
      <c r="G31" s="40"/>
      <c r="H31" s="40"/>
      <c r="I31" s="40"/>
      <c r="J31" s="40"/>
      <c r="K31" s="40"/>
      <c r="L31" s="40"/>
      <c r="M31" s="40"/>
      <c r="N31" s="40"/>
      <c r="O31" s="40"/>
      <c r="P31" s="40"/>
      <c r="Q31" s="40"/>
      <c r="R31" s="40"/>
    </row>
    <row r="32" spans="1:18" x14ac:dyDescent="0.2">
      <c r="A32" s="104"/>
      <c r="B32" s="104"/>
      <c r="C32" s="104"/>
      <c r="D32" s="104"/>
      <c r="E32" s="104"/>
      <c r="F32" s="40"/>
      <c r="G32" s="40"/>
      <c r="H32" s="40"/>
      <c r="I32" s="40"/>
      <c r="J32" s="40"/>
      <c r="K32" s="40"/>
      <c r="L32" s="40"/>
      <c r="M32" s="40"/>
      <c r="N32" s="40"/>
      <c r="O32" s="40"/>
      <c r="P32" s="40"/>
      <c r="Q32" s="40"/>
      <c r="R32" s="40"/>
    </row>
    <row r="33" spans="1:18" x14ac:dyDescent="0.2">
      <c r="A33" s="104"/>
      <c r="B33" s="104"/>
      <c r="C33" s="104"/>
      <c r="D33" s="104"/>
      <c r="E33" s="104"/>
      <c r="F33" s="74"/>
      <c r="G33" s="74"/>
      <c r="H33" s="74"/>
      <c r="I33" s="74"/>
      <c r="J33" s="74"/>
      <c r="K33" s="74"/>
      <c r="L33" s="74"/>
      <c r="M33" s="74"/>
      <c r="N33" s="74"/>
      <c r="O33" s="74"/>
      <c r="P33" s="40"/>
      <c r="Q33" s="40"/>
      <c r="R33" s="40"/>
    </row>
    <row r="34" spans="1:18" x14ac:dyDescent="0.2">
      <c r="A34" s="104"/>
      <c r="B34" s="104"/>
      <c r="C34" s="104"/>
      <c r="D34" s="104"/>
      <c r="E34" s="104"/>
      <c r="F34" s="74"/>
      <c r="G34" s="74"/>
      <c r="H34" s="74"/>
      <c r="I34" s="74"/>
      <c r="J34" s="74"/>
      <c r="K34" s="74"/>
      <c r="L34" s="74"/>
      <c r="M34" s="74"/>
      <c r="N34" s="74"/>
      <c r="O34" s="74"/>
      <c r="P34" s="40"/>
      <c r="Q34" s="40"/>
      <c r="R34" s="40"/>
    </row>
    <row r="35" spans="1:18" x14ac:dyDescent="0.2">
      <c r="A35" s="104"/>
      <c r="B35" s="104"/>
      <c r="C35" s="104"/>
      <c r="D35" s="104"/>
      <c r="E35" s="104"/>
      <c r="F35" s="74"/>
      <c r="G35" s="74"/>
      <c r="H35" s="74"/>
      <c r="I35" s="74"/>
      <c r="J35" s="74"/>
      <c r="K35" s="74"/>
      <c r="L35" s="74"/>
      <c r="M35" s="74"/>
      <c r="N35" s="74"/>
      <c r="O35" s="74"/>
      <c r="P35" s="40"/>
      <c r="Q35" s="40"/>
      <c r="R35" s="40"/>
    </row>
    <row r="36" spans="1:18" x14ac:dyDescent="0.2">
      <c r="A36" s="74"/>
      <c r="B36" s="74"/>
      <c r="C36" s="74"/>
      <c r="D36" s="74"/>
      <c r="E36" s="74"/>
      <c r="F36" s="74"/>
      <c r="G36" s="74"/>
      <c r="H36" s="74"/>
      <c r="I36" s="74"/>
      <c r="J36" s="74"/>
      <c r="K36" s="74"/>
      <c r="L36" s="74"/>
      <c r="M36" s="74"/>
      <c r="N36" s="74"/>
      <c r="O36" s="74"/>
      <c r="P36" s="40"/>
      <c r="Q36" s="40"/>
      <c r="R36" s="40"/>
    </row>
    <row r="37" spans="1:18" x14ac:dyDescent="0.2">
      <c r="A37" s="74"/>
      <c r="B37" s="74"/>
      <c r="C37" s="74"/>
      <c r="D37" s="74"/>
      <c r="E37" s="74"/>
      <c r="F37" s="74"/>
      <c r="G37" s="74"/>
      <c r="H37" s="74"/>
      <c r="I37" s="74"/>
      <c r="J37" s="74"/>
      <c r="K37" s="74"/>
      <c r="L37" s="74"/>
      <c r="M37" s="74"/>
      <c r="N37" s="74"/>
      <c r="O37" s="74"/>
      <c r="P37" s="40"/>
      <c r="Q37" s="40"/>
      <c r="R37" s="40"/>
    </row>
    <row r="38" spans="1:18" x14ac:dyDescent="0.2">
      <c r="A38" s="74"/>
      <c r="B38" s="74"/>
      <c r="C38" s="74"/>
      <c r="D38" s="74"/>
      <c r="E38" s="74"/>
      <c r="F38" s="74"/>
      <c r="G38" s="74"/>
      <c r="H38" s="74"/>
      <c r="I38" s="74"/>
      <c r="J38" s="74"/>
      <c r="K38" s="74"/>
      <c r="L38" s="74"/>
      <c r="M38" s="74"/>
      <c r="N38" s="74"/>
      <c r="O38" s="74"/>
      <c r="P38" s="40"/>
      <c r="Q38" s="40"/>
      <c r="R38" s="40"/>
    </row>
    <row r="39" spans="1:18" x14ac:dyDescent="0.2">
      <c r="A39" s="74"/>
      <c r="B39" s="74"/>
      <c r="C39" s="74"/>
      <c r="D39" s="74"/>
      <c r="E39" s="74"/>
      <c r="F39" s="74"/>
      <c r="G39" s="74"/>
      <c r="H39" s="74"/>
      <c r="I39" s="74"/>
      <c r="J39" s="74"/>
      <c r="K39" s="74"/>
      <c r="L39" s="74"/>
      <c r="M39" s="74"/>
      <c r="N39" s="74"/>
      <c r="O39" s="74"/>
      <c r="P39" s="40"/>
      <c r="Q39" s="40"/>
      <c r="R39" s="40"/>
    </row>
    <row r="40" spans="1:18" x14ac:dyDescent="0.2">
      <c r="A40" s="74"/>
      <c r="B40" s="74"/>
      <c r="C40" s="74"/>
      <c r="D40" s="74"/>
      <c r="E40" s="74"/>
      <c r="F40" s="74"/>
      <c r="G40" s="74"/>
      <c r="H40" s="74"/>
      <c r="I40" s="74"/>
      <c r="J40" s="74"/>
      <c r="K40" s="74"/>
      <c r="L40" s="74"/>
      <c r="M40" s="74"/>
      <c r="N40" s="74"/>
      <c r="O40" s="74"/>
      <c r="P40" s="40"/>
      <c r="Q40" s="40"/>
      <c r="R40" s="40"/>
    </row>
    <row r="41" spans="1:18" x14ac:dyDescent="0.2">
      <c r="A41" s="74"/>
      <c r="B41" s="74"/>
      <c r="C41" s="74"/>
      <c r="D41" s="74"/>
      <c r="E41" s="74"/>
      <c r="F41" s="74"/>
      <c r="G41" s="74"/>
      <c r="H41" s="74"/>
      <c r="I41" s="74"/>
      <c r="J41" s="74"/>
      <c r="K41" s="74"/>
      <c r="L41" s="74"/>
      <c r="M41" s="74"/>
      <c r="N41" s="74"/>
      <c r="O41" s="74"/>
      <c r="P41" s="40"/>
      <c r="Q41" s="40"/>
      <c r="R41" s="40"/>
    </row>
    <row r="42" spans="1:18" x14ac:dyDescent="0.2">
      <c r="A42" s="74"/>
      <c r="B42" s="74"/>
      <c r="C42" s="74"/>
      <c r="D42" s="74"/>
      <c r="E42" s="74"/>
      <c r="F42" s="74"/>
      <c r="G42" s="74"/>
      <c r="H42" s="74"/>
      <c r="I42" s="74"/>
      <c r="J42" s="74"/>
      <c r="K42" s="74"/>
      <c r="L42" s="74"/>
      <c r="M42" s="74"/>
      <c r="N42" s="74"/>
      <c r="O42" s="74"/>
      <c r="P42" s="40"/>
      <c r="Q42" s="40"/>
      <c r="R42" s="40"/>
    </row>
    <row r="43" spans="1:18" x14ac:dyDescent="0.2">
      <c r="A43" s="74"/>
      <c r="B43" s="74"/>
      <c r="C43" s="74"/>
      <c r="D43" s="74"/>
      <c r="E43" s="74"/>
      <c r="F43" s="74"/>
      <c r="G43" s="74"/>
      <c r="H43" s="74"/>
      <c r="I43" s="74"/>
      <c r="J43" s="74"/>
      <c r="K43" s="74"/>
      <c r="L43" s="74"/>
      <c r="M43" s="74"/>
      <c r="N43" s="74"/>
      <c r="O43" s="74"/>
      <c r="P43" s="40"/>
      <c r="Q43" s="40"/>
      <c r="R43" s="40"/>
    </row>
    <row r="44" spans="1:18" x14ac:dyDescent="0.2">
      <c r="A44" s="74"/>
      <c r="B44" s="74"/>
      <c r="C44" s="74"/>
      <c r="D44" s="74"/>
      <c r="E44" s="74"/>
      <c r="F44" s="74"/>
      <c r="G44" s="74"/>
      <c r="H44" s="74"/>
      <c r="I44" s="74"/>
      <c r="J44" s="74"/>
      <c r="K44" s="74"/>
      <c r="L44" s="74"/>
      <c r="M44" s="74"/>
      <c r="N44" s="74"/>
      <c r="O44" s="74"/>
      <c r="P44" s="40"/>
      <c r="Q44" s="40"/>
      <c r="R44" s="40"/>
    </row>
    <row r="45" spans="1:18" x14ac:dyDescent="0.2">
      <c r="A45" s="74"/>
      <c r="B45" s="74"/>
      <c r="C45" s="74"/>
      <c r="D45" s="74"/>
      <c r="E45" s="74"/>
      <c r="F45" s="74"/>
      <c r="G45" s="74"/>
      <c r="H45" s="74"/>
      <c r="I45" s="74"/>
      <c r="J45" s="74"/>
      <c r="K45" s="74"/>
      <c r="L45" s="74"/>
      <c r="M45" s="74"/>
      <c r="N45" s="74"/>
      <c r="O45" s="74"/>
      <c r="P45" s="40"/>
      <c r="Q45" s="40"/>
      <c r="R45" s="40"/>
    </row>
    <row r="46" spans="1:18" x14ac:dyDescent="0.2">
      <c r="A46" s="74"/>
      <c r="B46" s="74"/>
      <c r="C46" s="74"/>
      <c r="D46" s="74"/>
      <c r="E46" s="74"/>
      <c r="F46" s="74"/>
      <c r="G46" s="74"/>
      <c r="H46" s="74"/>
      <c r="I46" s="74"/>
      <c r="J46" s="74"/>
      <c r="K46" s="74"/>
      <c r="L46" s="74"/>
      <c r="M46" s="74"/>
      <c r="N46" s="74"/>
      <c r="O46" s="74"/>
      <c r="P46" s="40"/>
      <c r="Q46" s="40"/>
      <c r="R46" s="40"/>
    </row>
    <row r="47" spans="1:18" x14ac:dyDescent="0.2">
      <c r="A47" s="74"/>
      <c r="B47" s="74"/>
      <c r="C47" s="74"/>
      <c r="D47" s="74"/>
      <c r="E47" s="74"/>
      <c r="F47" s="74"/>
      <c r="G47" s="74"/>
      <c r="H47" s="74"/>
      <c r="I47" s="74"/>
      <c r="J47" s="74"/>
      <c r="K47" s="74"/>
      <c r="L47" s="74"/>
      <c r="M47" s="74"/>
      <c r="N47" s="74"/>
      <c r="O47" s="74"/>
      <c r="P47" s="40"/>
      <c r="Q47" s="40"/>
      <c r="R47" s="40"/>
    </row>
    <row r="48" spans="1:18" x14ac:dyDescent="0.2">
      <c r="A48" s="74"/>
      <c r="B48" s="74"/>
      <c r="C48" s="74"/>
      <c r="D48" s="74"/>
      <c r="E48" s="74"/>
      <c r="F48" s="74"/>
      <c r="G48" s="74"/>
      <c r="H48" s="74"/>
      <c r="I48" s="74"/>
      <c r="J48" s="74"/>
      <c r="K48" s="74"/>
      <c r="L48" s="74"/>
      <c r="M48" s="74"/>
      <c r="N48" s="74"/>
      <c r="O48" s="74"/>
      <c r="P48" s="40"/>
      <c r="Q48" s="40"/>
      <c r="R48" s="40"/>
    </row>
    <row r="49" spans="1:18" x14ac:dyDescent="0.2">
      <c r="A49" s="74"/>
      <c r="B49" s="74"/>
      <c r="C49" s="74"/>
      <c r="D49" s="74"/>
      <c r="E49" s="74"/>
      <c r="F49" s="74"/>
      <c r="G49" s="74"/>
      <c r="H49" s="74"/>
      <c r="I49" s="74"/>
      <c r="J49" s="74"/>
      <c r="K49" s="74"/>
      <c r="L49" s="74"/>
      <c r="M49" s="74"/>
      <c r="N49" s="74"/>
      <c r="O49" s="74"/>
      <c r="P49" s="40"/>
      <c r="Q49" s="40"/>
      <c r="R49" s="40"/>
    </row>
    <row r="50" spans="1:18" x14ac:dyDescent="0.2">
      <c r="A50" s="74"/>
      <c r="B50" s="74"/>
      <c r="C50" s="74"/>
      <c r="D50" s="74"/>
      <c r="E50" s="74"/>
      <c r="F50" s="74"/>
      <c r="G50" s="74"/>
      <c r="H50" s="74"/>
      <c r="I50" s="74"/>
      <c r="J50" s="74"/>
      <c r="K50" s="74"/>
      <c r="L50" s="74"/>
      <c r="M50" s="74"/>
      <c r="N50" s="74"/>
      <c r="O50" s="74"/>
      <c r="P50" s="40"/>
      <c r="Q50" s="40"/>
      <c r="R50" s="40"/>
    </row>
    <row r="51" spans="1:18" x14ac:dyDescent="0.2">
      <c r="A51" s="74"/>
      <c r="B51" s="74"/>
      <c r="C51" s="74"/>
      <c r="D51" s="74"/>
      <c r="E51" s="74"/>
      <c r="F51" s="74"/>
      <c r="G51" s="74"/>
      <c r="H51" s="74"/>
      <c r="I51" s="74"/>
      <c r="J51" s="74"/>
      <c r="K51" s="74"/>
      <c r="L51" s="74"/>
      <c r="M51" s="74"/>
      <c r="N51" s="74"/>
      <c r="O51" s="74"/>
      <c r="P51" s="40"/>
      <c r="Q51" s="40"/>
      <c r="R51" s="40"/>
    </row>
    <row r="52" spans="1:18" x14ac:dyDescent="0.2">
      <c r="A52" s="74"/>
      <c r="B52" s="74"/>
      <c r="C52" s="74"/>
      <c r="D52" s="74"/>
      <c r="E52" s="74"/>
      <c r="F52" s="74"/>
      <c r="G52" s="74"/>
      <c r="H52" s="74"/>
      <c r="I52" s="74"/>
      <c r="J52" s="74"/>
      <c r="K52" s="74"/>
      <c r="L52" s="74"/>
      <c r="M52" s="74"/>
      <c r="N52" s="74"/>
      <c r="O52" s="74"/>
      <c r="P52" s="40"/>
      <c r="Q52" s="40"/>
      <c r="R52" s="40"/>
    </row>
    <row r="53" spans="1:18" x14ac:dyDescent="0.2">
      <c r="A53" s="74"/>
      <c r="B53" s="74"/>
      <c r="C53" s="74"/>
      <c r="D53" s="74"/>
      <c r="E53" s="74"/>
      <c r="F53" s="74"/>
      <c r="G53" s="74"/>
      <c r="H53" s="74"/>
      <c r="I53" s="74"/>
      <c r="J53" s="74"/>
      <c r="K53" s="74"/>
      <c r="L53" s="74"/>
      <c r="M53" s="74"/>
      <c r="N53" s="74"/>
      <c r="O53" s="74"/>
      <c r="P53" s="40"/>
      <c r="Q53" s="40"/>
      <c r="R53" s="40"/>
    </row>
    <row r="54" spans="1:18" x14ac:dyDescent="0.2">
      <c r="A54" s="74"/>
      <c r="B54" s="74"/>
      <c r="C54" s="74"/>
      <c r="D54" s="74"/>
      <c r="E54" s="74"/>
      <c r="F54" s="74"/>
      <c r="G54" s="74"/>
      <c r="H54" s="74"/>
      <c r="I54" s="74"/>
      <c r="J54" s="74"/>
      <c r="K54" s="74"/>
      <c r="L54" s="74"/>
      <c r="M54" s="74"/>
      <c r="N54" s="74"/>
      <c r="O54" s="74"/>
      <c r="P54" s="40"/>
      <c r="Q54" s="40"/>
      <c r="R54" s="40"/>
    </row>
    <row r="55" spans="1:18" x14ac:dyDescent="0.2">
      <c r="A55" s="74"/>
      <c r="B55" s="74"/>
      <c r="C55" s="74"/>
      <c r="D55" s="74"/>
      <c r="E55" s="74"/>
      <c r="F55" s="74"/>
      <c r="G55" s="74"/>
      <c r="H55" s="74"/>
      <c r="I55" s="74"/>
      <c r="J55" s="74"/>
      <c r="K55" s="74"/>
      <c r="L55" s="74"/>
      <c r="M55" s="74"/>
      <c r="N55" s="74"/>
      <c r="O55" s="74"/>
      <c r="P55" s="40"/>
      <c r="Q55" s="40"/>
      <c r="R55" s="40"/>
    </row>
    <row r="56" spans="1:18" x14ac:dyDescent="0.2">
      <c r="A56" s="74"/>
      <c r="B56" s="74"/>
      <c r="C56" s="74"/>
      <c r="D56" s="74"/>
      <c r="E56" s="74"/>
      <c r="F56" s="74"/>
      <c r="G56" s="74"/>
      <c r="H56" s="74"/>
      <c r="I56" s="74"/>
      <c r="J56" s="74"/>
      <c r="K56" s="74"/>
      <c r="L56" s="74"/>
      <c r="M56" s="74"/>
      <c r="N56" s="74"/>
      <c r="O56" s="74"/>
      <c r="P56" s="40"/>
      <c r="Q56" s="40"/>
      <c r="R56" s="40"/>
    </row>
    <row r="57" spans="1:18" x14ac:dyDescent="0.2">
      <c r="A57" s="74"/>
      <c r="B57" s="74"/>
      <c r="C57" s="74"/>
      <c r="D57" s="74"/>
      <c r="E57" s="74"/>
      <c r="F57" s="74"/>
      <c r="G57" s="74"/>
      <c r="H57" s="74"/>
      <c r="I57" s="74"/>
      <c r="J57" s="74"/>
      <c r="K57" s="74"/>
      <c r="L57" s="74"/>
      <c r="M57" s="74"/>
      <c r="N57" s="74"/>
      <c r="O57" s="74"/>
      <c r="P57" s="40"/>
      <c r="Q57" s="40"/>
      <c r="R57" s="40"/>
    </row>
    <row r="58" spans="1:18" x14ac:dyDescent="0.2">
      <c r="A58" s="74"/>
      <c r="B58" s="74"/>
      <c r="C58" s="74"/>
      <c r="D58" s="74"/>
      <c r="E58" s="74"/>
      <c r="F58" s="74"/>
      <c r="G58" s="74"/>
      <c r="H58" s="74"/>
      <c r="I58" s="74"/>
      <c r="J58" s="74"/>
      <c r="K58" s="74"/>
      <c r="L58" s="74"/>
      <c r="M58" s="74"/>
      <c r="N58" s="74"/>
      <c r="O58" s="74"/>
      <c r="P58" s="40"/>
      <c r="Q58" s="40"/>
      <c r="R58" s="40"/>
    </row>
    <row r="59" spans="1:18" x14ac:dyDescent="0.2">
      <c r="A59" s="74"/>
      <c r="B59" s="74"/>
      <c r="C59" s="74"/>
      <c r="D59" s="74"/>
      <c r="E59" s="74"/>
      <c r="F59" s="74"/>
      <c r="G59" s="74"/>
      <c r="H59" s="74"/>
      <c r="I59" s="74"/>
      <c r="J59" s="74"/>
      <c r="K59" s="74"/>
      <c r="L59" s="74"/>
      <c r="M59" s="74"/>
      <c r="N59" s="74"/>
      <c r="O59" s="74"/>
      <c r="P59" s="40"/>
      <c r="Q59" s="40"/>
      <c r="R59" s="40"/>
    </row>
    <row r="60" spans="1:18" x14ac:dyDescent="0.2">
      <c r="A60" s="74"/>
      <c r="B60" s="74"/>
      <c r="C60" s="74"/>
      <c r="D60" s="74"/>
      <c r="E60" s="74"/>
      <c r="F60" s="74"/>
      <c r="G60" s="74"/>
      <c r="H60" s="74"/>
      <c r="I60" s="74"/>
      <c r="J60" s="74"/>
      <c r="K60" s="74"/>
      <c r="L60" s="74"/>
      <c r="M60" s="74"/>
      <c r="N60" s="74"/>
      <c r="O60" s="74"/>
      <c r="P60" s="40"/>
      <c r="Q60" s="40"/>
      <c r="R60" s="40"/>
    </row>
    <row r="61" spans="1:18" x14ac:dyDescent="0.2">
      <c r="A61" s="74"/>
      <c r="B61" s="74"/>
      <c r="C61" s="74"/>
      <c r="D61" s="74"/>
      <c r="E61" s="74"/>
      <c r="F61" s="74"/>
      <c r="G61" s="74"/>
      <c r="H61" s="74"/>
      <c r="I61" s="74"/>
      <c r="J61" s="74"/>
      <c r="K61" s="74"/>
      <c r="L61" s="74"/>
      <c r="M61" s="74"/>
      <c r="N61" s="74"/>
      <c r="O61" s="74"/>
      <c r="P61" s="40"/>
      <c r="Q61" s="40"/>
      <c r="R61" s="40"/>
    </row>
    <row r="62" spans="1:18" x14ac:dyDescent="0.2">
      <c r="O62" s="40"/>
      <c r="P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1">
    <mergeCell ref="A22:E32"/>
    <mergeCell ref="N24:O24"/>
    <mergeCell ref="N25:O25"/>
    <mergeCell ref="A33:E35"/>
    <mergeCell ref="A1:XFD2"/>
    <mergeCell ref="N3:O3"/>
    <mergeCell ref="N4:O4"/>
    <mergeCell ref="N13:O13"/>
    <mergeCell ref="N18:O18"/>
    <mergeCell ref="A21:C21"/>
    <mergeCell ref="D21:E21"/>
  </mergeCells>
  <hyperlinks>
    <hyperlink ref="F9" r:id="rId1" display="https://finbox.com/NASDAQGS:DDOG/explorer/revenue_proj" xr:uid="{A32D46EC-A492-674C-AAFF-175304659B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2023-12-03T14:21:09Z</dcterms:modified>
</cp:coreProperties>
</file>