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EC6DBA6-DAFA-5241-A8A1-7B7AF6BDE7F6}"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H3" i="1"/>
  <c r="H18" i="1"/>
  <c r="H35" i="1"/>
  <c r="J36" i="1"/>
  <c r="I36" i="1"/>
  <c r="H36" i="1"/>
  <c r="G36" i="1"/>
  <c r="F36" i="1"/>
  <c r="E36" i="1"/>
  <c r="D36" i="1"/>
  <c r="C36" i="1"/>
  <c r="B36" i="1"/>
  <c r="J35" i="1"/>
  <c r="I35" i="1"/>
  <c r="F35" i="1"/>
  <c r="E35" i="1"/>
  <c r="D35" i="1"/>
  <c r="C35" i="1"/>
  <c r="J18" i="1"/>
  <c r="I18" i="1"/>
  <c r="F18" i="1"/>
  <c r="E18" i="1"/>
  <c r="D18" i="1"/>
  <c r="C18" i="1"/>
  <c r="J14" i="1"/>
  <c r="I14" i="1"/>
  <c r="H14" i="1"/>
  <c r="G14" i="1"/>
  <c r="F14" i="1"/>
  <c r="E14" i="1"/>
  <c r="D14" i="1"/>
  <c r="C14" i="1"/>
  <c r="B14" i="1"/>
  <c r="J12" i="1"/>
  <c r="I12" i="1"/>
  <c r="H12" i="1"/>
  <c r="G12" i="1"/>
  <c r="F12" i="1"/>
  <c r="E12" i="1"/>
  <c r="D12" i="1"/>
  <c r="C12" i="1"/>
  <c r="B12" i="1"/>
  <c r="J3" i="1"/>
  <c r="I3" i="1"/>
  <c r="F3" i="1"/>
  <c r="E3" i="1"/>
  <c r="D3" i="1"/>
  <c r="C3" i="1"/>
  <c r="K3" i="2" l="1"/>
  <c r="K13" i="2"/>
  <c r="K11" i="2"/>
  <c r="K16" i="2"/>
  <c r="E5" i="2"/>
  <c r="E4" i="2"/>
  <c r="G4" i="2"/>
  <c r="O20" i="2"/>
  <c r="C7" i="2"/>
  <c r="O19" i="2"/>
  <c r="O21" i="2" l="1"/>
  <c r="O22" i="2" s="1"/>
  <c r="O23" i="2"/>
  <c r="A6" i="2"/>
  <c r="A7"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<sst xmlns="http://schemas.openxmlformats.org/spreadsheetml/2006/main" count="954" uniqueCount="244">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</sst>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0" fontId="11" fillId="6" borderId="6" xfId="0" applyFont="1" applyFill="1" applyBorder="1" applyAlignment="1">
      <alignment horizontal="left" vertical="center" indent="1"/>
    </xf>
    <xf numFmtId="164" fontId="11" fillId="6" borderId="6" xfId="0" applyNumberFormat="1" applyFont="1" applyFill="1" applyBorder="1"/>
    <xf numFmtId="9" fontId="11" fillId="6" borderId="6" xfId="0" applyNumberFormat="1" applyFont="1" applyFill="1" applyBorder="1" applyAlignment="1">
      <alignment horizontal="right" vertical="center"/>
    </xf>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Small Caps"/>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226.79480000000001</v>
    <v>64.73</v>
    <v>1.2210000000000001</v>
    <v>1.01</v>
    <v>4.7580000000000001E-3</v>
    <v>-2.2999999999999998</v>
    <v>-1.0783000000000001E-2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215.52</v>
    <v>Software &amp; IT Services</v>
    <v>Stock</v>
    <v>45262.038211990628</v>
    <v>0</v>
    <v>206.62860000000001</v>
    <v>8961547806</v>
    <v>DUOLINGO, INC.</v>
    <v>DUOLINGO, INC.</v>
    <v>212.5</v>
    <v>212.29</v>
    <v>213.3</v>
    <v>211</v>
    <v>42013820</v>
    <v>DUOL</v>
    <v>DUOLINGO, INC. (XNAS:DUOL)</v>
    <v>692019</v>
    <v>894629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UO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UO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59" workbookViewId="0">
      <pane xSplit="1" topLeftCell="B1" activePane="topRight" state="frozen"/>
      <selection pane="topRight" activeCell="B188" sqref="B188:E188"/>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9">
        <v>70760000</v>
      </c>
      <c r="C2" s="29">
        <v>161696000</v>
      </c>
      <c r="D2" s="29">
        <v>250772000</v>
      </c>
      <c r="E2" s="29">
        <v>369495000</v>
      </c>
      <c r="F2" s="30">
        <v>442389000</v>
      </c>
      <c r="G2" s="29">
        <v>96065000</v>
      </c>
      <c r="H2" s="29">
        <v>103824000</v>
      </c>
      <c r="I2" s="29">
        <v>115661000</v>
      </c>
      <c r="J2" s="29">
        <v>126839000</v>
      </c>
    </row>
    <row r="3" spans="1:10" ht="16" x14ac:dyDescent="0.2">
      <c r="A3" s="34" t="s">
        <v>182</v>
      </c>
      <c r="B3" s="35"/>
      <c r="C3" s="36">
        <f t="shared" ref="C3:J3" si="0">(C2/B2)-1</f>
        <v>1.2851328434143583</v>
      </c>
      <c r="D3" s="36">
        <f t="shared" si="0"/>
        <v>0.5508856125074213</v>
      </c>
      <c r="E3" s="36">
        <f t="shared" si="0"/>
        <v>0.47343004801173971</v>
      </c>
      <c r="F3" s="36">
        <f t="shared" si="0"/>
        <v>0.19728007144886939</v>
      </c>
      <c r="G3" s="36"/>
      <c r="H3" s="36">
        <f t="shared" si="0"/>
        <v>8.0768229844376149E-2</v>
      </c>
      <c r="I3" s="36">
        <f t="shared" si="0"/>
        <v>0.11401024811218985</v>
      </c>
      <c r="J3" s="36">
        <f t="shared" si="0"/>
        <v>9.6644504197612058E-2</v>
      </c>
    </row>
    <row r="4" spans="1:10" ht="16" x14ac:dyDescent="0.2">
      <c r="A4" s="3" t="s">
        <v>10</v>
      </c>
      <c r="B4" s="4">
        <v>70760000</v>
      </c>
      <c r="C4" s="4">
        <v>161696000</v>
      </c>
      <c r="D4" s="4">
        <v>250772000</v>
      </c>
      <c r="E4" s="4">
        <v>369495000</v>
      </c>
      <c r="F4" s="5">
        <v>442389000</v>
      </c>
      <c r="G4" s="4">
        <v>96065000</v>
      </c>
      <c r="H4" s="4">
        <v>103824000</v>
      </c>
      <c r="I4" s="4">
        <v>115661000</v>
      </c>
      <c r="J4" s="4">
        <v>126839000</v>
      </c>
    </row>
    <row r="5" spans="1:10" ht="16" x14ac:dyDescent="0.2">
      <c r="A5" s="3" t="s">
        <v>11</v>
      </c>
      <c r="B5" s="4">
        <v>20737000</v>
      </c>
      <c r="C5" s="4">
        <v>45987000</v>
      </c>
      <c r="D5" s="4">
        <v>69186000</v>
      </c>
      <c r="E5" s="4">
        <v>99431000</v>
      </c>
      <c r="F5" s="5">
        <v>119352000</v>
      </c>
      <c r="G5" s="4">
        <v>26302000</v>
      </c>
      <c r="H5" s="4">
        <v>27770000</v>
      </c>
      <c r="I5" s="4">
        <v>31492000</v>
      </c>
      <c r="J5" s="4">
        <v>33788000</v>
      </c>
    </row>
    <row r="6" spans="1:10" ht="16" x14ac:dyDescent="0.2">
      <c r="A6" s="3" t="s">
        <v>12</v>
      </c>
      <c r="B6" s="4">
        <v>20737000</v>
      </c>
      <c r="C6" s="4">
        <v>45987000</v>
      </c>
      <c r="D6" s="4">
        <v>69186000</v>
      </c>
      <c r="E6" s="4">
        <v>99431000</v>
      </c>
      <c r="F6" s="5">
        <v>119352000</v>
      </c>
      <c r="G6" s="4">
        <v>26302000</v>
      </c>
      <c r="H6" s="4">
        <v>27770000</v>
      </c>
      <c r="I6" s="4">
        <v>31492000</v>
      </c>
      <c r="J6" s="4">
        <v>33788000</v>
      </c>
    </row>
    <row r="7" spans="1:10" ht="16" x14ac:dyDescent="0.2">
      <c r="A7" s="33" t="s">
        <v>13</v>
      </c>
      <c r="B7" s="29">
        <v>50023000</v>
      </c>
      <c r="C7" s="29">
        <v>115709000</v>
      </c>
      <c r="D7" s="29">
        <v>181586000</v>
      </c>
      <c r="E7" s="29">
        <v>270064000</v>
      </c>
      <c r="F7" s="30">
        <v>323037000</v>
      </c>
      <c r="G7" s="29">
        <v>69763000</v>
      </c>
      <c r="H7" s="29">
        <v>76054000</v>
      </c>
      <c r="I7" s="29">
        <v>84169000</v>
      </c>
      <c r="J7" s="29">
        <v>93051000</v>
      </c>
    </row>
    <row r="8" spans="1:10" ht="16" x14ac:dyDescent="0.2">
      <c r="A8" s="28" t="s">
        <v>49</v>
      </c>
      <c r="B8" s="31">
        <v>70.69</v>
      </c>
      <c r="C8" s="31">
        <v>71.56</v>
      </c>
      <c r="D8" s="31">
        <v>72.41</v>
      </c>
      <c r="E8" s="31">
        <v>73.09</v>
      </c>
      <c r="F8" s="32">
        <v>73.02</v>
      </c>
      <c r="G8" s="31">
        <v>72.62</v>
      </c>
      <c r="H8" s="31">
        <v>73.25</v>
      </c>
      <c r="I8" s="31">
        <v>72.77</v>
      </c>
      <c r="J8" s="31">
        <v>73.36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62920000</v>
      </c>
      <c r="C10" s="4">
        <v>131720000</v>
      </c>
      <c r="D10" s="4">
        <v>241593000</v>
      </c>
      <c r="E10" s="4">
        <v>335259000</v>
      </c>
      <c r="F10" s="5">
        <v>374735000</v>
      </c>
      <c r="G10" s="4">
        <v>89925000</v>
      </c>
      <c r="H10" s="4">
        <v>94206000</v>
      </c>
      <c r="I10" s="4">
        <v>92688000</v>
      </c>
      <c r="J10" s="4">
        <v>97916000</v>
      </c>
    </row>
    <row r="11" spans="1:10" ht="16" x14ac:dyDescent="0.2">
      <c r="A11" s="28" t="s">
        <v>17</v>
      </c>
      <c r="B11" s="29">
        <v>31360000</v>
      </c>
      <c r="C11" s="29">
        <v>78696000</v>
      </c>
      <c r="D11" s="29">
        <v>137760000</v>
      </c>
      <c r="E11" s="29">
        <v>184815000</v>
      </c>
      <c r="F11" s="30">
        <v>194498000</v>
      </c>
      <c r="G11" s="29">
        <v>47949000</v>
      </c>
      <c r="H11" s="29">
        <v>49736000</v>
      </c>
      <c r="I11" s="29">
        <v>46844000</v>
      </c>
      <c r="J11" s="29">
        <v>49969000</v>
      </c>
    </row>
    <row r="12" spans="1:10" ht="16" x14ac:dyDescent="0.2">
      <c r="A12" s="9" t="s">
        <v>183</v>
      </c>
      <c r="B12" s="10">
        <f t="shared" ref="B12:J12" si="1">B11/B2</f>
        <v>0.44318824194460149</v>
      </c>
      <c r="C12" s="10">
        <f t="shared" si="1"/>
        <v>0.48669107460914307</v>
      </c>
      <c r="D12" s="10">
        <f t="shared" si="1"/>
        <v>0.549343626880194</v>
      </c>
      <c r="E12" s="10">
        <f t="shared" si="1"/>
        <v>0.50018268176835956</v>
      </c>
      <c r="F12" s="10">
        <f t="shared" si="1"/>
        <v>0.43965378886003043</v>
      </c>
      <c r="G12" s="10">
        <f t="shared" si="1"/>
        <v>0.49913079685629519</v>
      </c>
      <c r="H12" s="10">
        <f t="shared" si="1"/>
        <v>0.47904145476961013</v>
      </c>
      <c r="I12" s="10">
        <f t="shared" si="1"/>
        <v>0.40501119651395023</v>
      </c>
      <c r="J12" s="10">
        <f t="shared" si="1"/>
        <v>0.39395611759789972</v>
      </c>
    </row>
    <row r="13" spans="1:10" ht="16" x14ac:dyDescent="0.2">
      <c r="A13" s="28" t="s">
        <v>18</v>
      </c>
      <c r="B13" s="29">
        <v>31560000</v>
      </c>
      <c r="C13" s="29">
        <v>53024000</v>
      </c>
      <c r="D13" s="29">
        <v>103833000</v>
      </c>
      <c r="E13" s="29">
        <v>150444000</v>
      </c>
      <c r="F13" s="30">
        <v>180237000</v>
      </c>
      <c r="G13" s="29">
        <v>41976000</v>
      </c>
      <c r="H13" s="29">
        <v>44470000</v>
      </c>
      <c r="I13" s="29">
        <v>45844000</v>
      </c>
      <c r="J13" s="29">
        <v>47947000</v>
      </c>
    </row>
    <row r="14" spans="1:10" ht="16" x14ac:dyDescent="0.2">
      <c r="A14" s="11" t="s">
        <v>184</v>
      </c>
      <c r="B14" s="12">
        <f t="shared" ref="B14:J14" si="2">B13/B2</f>
        <v>0.44601469756924816</v>
      </c>
      <c r="C14" s="12">
        <f t="shared" si="2"/>
        <v>0.32792400554126261</v>
      </c>
      <c r="D14" s="12">
        <f t="shared" si="2"/>
        <v>0.41405340309125421</v>
      </c>
      <c r="E14" s="12">
        <f t="shared" si="2"/>
        <v>0.40716112531969312</v>
      </c>
      <c r="F14" s="12">
        <f t="shared" si="2"/>
        <v>0.40741745386978429</v>
      </c>
      <c r="G14" s="12">
        <f t="shared" si="2"/>
        <v>0.43695414563056262</v>
      </c>
      <c r="H14" s="12">
        <f t="shared" si="2"/>
        <v>0.42832100477731544</v>
      </c>
      <c r="I14" s="12">
        <f t="shared" si="2"/>
        <v>0.39636523979560956</v>
      </c>
      <c r="J14" s="12">
        <f t="shared" si="2"/>
        <v>0.3780146484913946</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9">
        <v>-12897000</v>
      </c>
      <c r="C16" s="29">
        <v>-16011000</v>
      </c>
      <c r="D16" s="29">
        <v>-60007000</v>
      </c>
      <c r="E16" s="29">
        <v>-65195000</v>
      </c>
      <c r="F16" s="30">
        <v>-51698000</v>
      </c>
      <c r="G16" s="29">
        <v>-20162000</v>
      </c>
      <c r="H16" s="29">
        <v>-18152000</v>
      </c>
      <c r="I16" s="29">
        <v>-8519000</v>
      </c>
      <c r="J16" s="29">
        <v>-4865000</v>
      </c>
    </row>
    <row r="17" spans="1:10" ht="16" x14ac:dyDescent="0.2">
      <c r="A17" s="28" t="s">
        <v>50</v>
      </c>
      <c r="B17" s="31">
        <v>-18.23</v>
      </c>
      <c r="C17" s="31">
        <v>-9.9</v>
      </c>
      <c r="D17" s="31">
        <v>-23.93</v>
      </c>
      <c r="E17" s="31">
        <v>-17.64</v>
      </c>
      <c r="F17" s="32">
        <v>-11.69</v>
      </c>
      <c r="G17" s="31">
        <v>-20.99</v>
      </c>
      <c r="H17" s="31">
        <v>-17.48</v>
      </c>
      <c r="I17" s="31">
        <v>-7.37</v>
      </c>
      <c r="J17" s="31">
        <v>-3.84</v>
      </c>
    </row>
    <row r="18" spans="1:10" ht="16" x14ac:dyDescent="0.2">
      <c r="A18" s="13" t="s">
        <v>185</v>
      </c>
      <c r="B18" s="14"/>
      <c r="C18" s="10">
        <f>(C16/B16)-1</f>
        <v>0.24145150034891838</v>
      </c>
      <c r="D18" s="10">
        <f>(D16/C16)-1</f>
        <v>2.7478608456686029</v>
      </c>
      <c r="E18" s="10">
        <f>(E16/D16)-1</f>
        <v>8.6456580065658928E-2</v>
      </c>
      <c r="F18" s="10">
        <f t="shared" ref="F18:J18" si="3">(F16/E16)-1</f>
        <v>-0.20702507861032293</v>
      </c>
      <c r="G18" s="10"/>
      <c r="H18" s="10">
        <f t="shared" si="3"/>
        <v>-9.9692490824322966E-2</v>
      </c>
      <c r="I18" s="10">
        <f t="shared" si="3"/>
        <v>-0.53068532393124723</v>
      </c>
      <c r="J18" s="10">
        <f t="shared" si="3"/>
        <v>-0.42892358258011498</v>
      </c>
    </row>
    <row r="19" spans="1:10" ht="16" x14ac:dyDescent="0.2">
      <c r="A19" s="3" t="s">
        <v>21</v>
      </c>
      <c r="B19" s="4">
        <v>657000</v>
      </c>
      <c r="C19" s="4">
        <v>-303000</v>
      </c>
      <c r="D19" s="4">
        <v>-49000</v>
      </c>
      <c r="E19" s="4">
        <v>-6559000</v>
      </c>
      <c r="F19" s="5">
        <v>-19804000</v>
      </c>
      <c r="G19" s="4">
        <v>-1770000</v>
      </c>
      <c r="H19" s="4">
        <v>-4938000</v>
      </c>
      <c r="I19" s="4">
        <v>-5821000</v>
      </c>
      <c r="J19" s="4">
        <v>-7275000</v>
      </c>
    </row>
    <row r="20" spans="1:10" ht="16" x14ac:dyDescent="0.2">
      <c r="A20" s="3" t="s">
        <v>22</v>
      </c>
      <c r="B20" s="4" t="s">
        <v>15</v>
      </c>
      <c r="C20" s="4">
        <v>-231000</v>
      </c>
      <c r="D20" s="4">
        <v>-19000</v>
      </c>
      <c r="E20" s="4">
        <v>-7235000</v>
      </c>
      <c r="F20" s="5">
        <v>-17455000</v>
      </c>
      <c r="G20" s="4" t="s">
        <v>15</v>
      </c>
      <c r="H20" s="4">
        <v>-4273000</v>
      </c>
      <c r="I20" s="4">
        <v>-5639000</v>
      </c>
      <c r="J20" s="4">
        <v>-7543000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t="s">
        <v>15</v>
      </c>
      <c r="C22" s="4">
        <v>231000</v>
      </c>
      <c r="D22" s="4">
        <v>19000</v>
      </c>
      <c r="E22" s="4">
        <v>7235000</v>
      </c>
      <c r="F22" s="5">
        <v>17455000</v>
      </c>
      <c r="G22" s="4" t="s">
        <v>15</v>
      </c>
      <c r="H22" s="4">
        <v>4273000</v>
      </c>
      <c r="I22" s="4">
        <v>5639000</v>
      </c>
      <c r="J22" s="4">
        <v>7543000</v>
      </c>
    </row>
    <row r="23" spans="1:10" ht="16" x14ac:dyDescent="0.2">
      <c r="A23" s="3" t="s">
        <v>25</v>
      </c>
      <c r="B23" s="4">
        <v>657000</v>
      </c>
      <c r="C23" s="4">
        <v>-72000</v>
      </c>
      <c r="D23" s="4">
        <v>-30000</v>
      </c>
      <c r="E23" s="4">
        <v>676000</v>
      </c>
      <c r="F23" s="5">
        <v>-2349000</v>
      </c>
      <c r="G23" s="4">
        <v>-1770000</v>
      </c>
      <c r="H23" s="4">
        <v>-665000</v>
      </c>
      <c r="I23" s="4">
        <v>-182000</v>
      </c>
      <c r="J23" s="4">
        <v>268000</v>
      </c>
    </row>
    <row r="24" spans="1:10" ht="16" x14ac:dyDescent="0.2">
      <c r="A24" s="3" t="s">
        <v>26</v>
      </c>
      <c r="B24" s="4">
        <v>-13554000</v>
      </c>
      <c r="C24" s="4">
        <v>-15708000</v>
      </c>
      <c r="D24" s="4">
        <v>-59958000</v>
      </c>
      <c r="E24" s="4">
        <v>-58636000</v>
      </c>
      <c r="F24" s="5">
        <v>-31894000</v>
      </c>
      <c r="G24" s="4">
        <v>-18392000</v>
      </c>
      <c r="H24" s="4">
        <v>-13214000</v>
      </c>
      <c r="I24" s="4">
        <v>-2698000</v>
      </c>
      <c r="J24" s="4">
        <v>2410000</v>
      </c>
    </row>
    <row r="25" spans="1:10" ht="16" x14ac:dyDescent="0.2">
      <c r="A25" s="3" t="s">
        <v>27</v>
      </c>
      <c r="B25" s="4" t="s">
        <v>15</v>
      </c>
      <c r="C25" s="4">
        <v>68000</v>
      </c>
      <c r="D25" s="4">
        <v>177000</v>
      </c>
      <c r="E25" s="4">
        <v>938000</v>
      </c>
      <c r="F25" s="5">
        <v>-662000</v>
      </c>
      <c r="G25" s="4">
        <v>53000</v>
      </c>
      <c r="H25" s="4">
        <v>716000</v>
      </c>
      <c r="I25" s="4">
        <v>-116000</v>
      </c>
      <c r="J25" s="4">
        <v>-1315000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-13554000</v>
      </c>
      <c r="C27" s="4">
        <v>-15776000</v>
      </c>
      <c r="D27" s="4">
        <v>-60135000</v>
      </c>
      <c r="E27" s="4">
        <v>-59574000</v>
      </c>
      <c r="F27" s="5">
        <v>-31232000</v>
      </c>
      <c r="G27" s="4">
        <v>-18445000</v>
      </c>
      <c r="H27" s="4">
        <v>-13930000</v>
      </c>
      <c r="I27" s="4">
        <v>-2582000</v>
      </c>
      <c r="J27" s="4">
        <v>3725000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-13554000</v>
      </c>
      <c r="C31" s="4">
        <v>-15776000</v>
      </c>
      <c r="D31" s="4">
        <v>-60135000</v>
      </c>
      <c r="E31" s="4">
        <v>-59574000</v>
      </c>
      <c r="F31" s="5">
        <v>-31232000</v>
      </c>
      <c r="G31" s="4">
        <v>-18445000</v>
      </c>
      <c r="H31" s="4">
        <v>-13930000</v>
      </c>
      <c r="I31" s="4">
        <v>-2582000</v>
      </c>
      <c r="J31" s="4">
        <v>3725000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3" t="s">
        <v>35</v>
      </c>
      <c r="B33" s="29">
        <v>-13554000</v>
      </c>
      <c r="C33" s="29">
        <v>-15776000</v>
      </c>
      <c r="D33" s="29">
        <v>-60135000</v>
      </c>
      <c r="E33" s="29">
        <v>-59574000</v>
      </c>
      <c r="F33" s="30">
        <v>-31232000</v>
      </c>
      <c r="G33" s="29">
        <v>-18445000</v>
      </c>
      <c r="H33" s="29">
        <v>-13930000</v>
      </c>
      <c r="I33" s="29">
        <v>-2582000</v>
      </c>
      <c r="J33" s="29">
        <v>3725000</v>
      </c>
    </row>
    <row r="34" spans="1:10" ht="16" x14ac:dyDescent="0.2">
      <c r="A34" s="28" t="s">
        <v>51</v>
      </c>
      <c r="B34" s="31">
        <v>-19.149999999999999</v>
      </c>
      <c r="C34" s="31">
        <v>-9.76</v>
      </c>
      <c r="D34" s="31">
        <v>-23.98</v>
      </c>
      <c r="E34" s="31">
        <v>-16.12</v>
      </c>
      <c r="F34" s="32">
        <v>-7.06</v>
      </c>
      <c r="G34" s="31">
        <v>-19.2</v>
      </c>
      <c r="H34" s="31">
        <v>-13.42</v>
      </c>
      <c r="I34" s="31">
        <v>-2.23</v>
      </c>
      <c r="J34" s="31">
        <v>2.94</v>
      </c>
    </row>
    <row r="35" spans="1:10" ht="16" x14ac:dyDescent="0.2">
      <c r="A35" s="15" t="s">
        <v>186</v>
      </c>
      <c r="B35" s="16"/>
      <c r="C35" s="12">
        <f>(C33/B33)-1</f>
        <v>0.16393684521174556</v>
      </c>
      <c r="D35" s="12">
        <f>(D33/C33)-1</f>
        <v>2.8118027383367141</v>
      </c>
      <c r="E35" s="12">
        <f>(E33/D33)-1</f>
        <v>-9.3290097281117923E-3</v>
      </c>
      <c r="F35" s="12">
        <f t="shared" ref="F35:J35" si="4">(F33/E33)-1</f>
        <v>-0.47574445227783935</v>
      </c>
      <c r="G35" s="12"/>
      <c r="H35" s="12">
        <f t="shared" si="4"/>
        <v>-0.24478178368121439</v>
      </c>
      <c r="I35" s="12">
        <f t="shared" si="4"/>
        <v>-0.81464465183058143</v>
      </c>
      <c r="J35" s="12">
        <f t="shared" si="4"/>
        <v>-2.4426800929512007</v>
      </c>
    </row>
    <row r="36" spans="1:10" ht="16" x14ac:dyDescent="0.2">
      <c r="A36" s="17" t="s">
        <v>187</v>
      </c>
      <c r="B36" s="18">
        <f t="shared" ref="B36:J36" si="5">(B16*(1-0.25))/(B126+B105+B96)</f>
        <v>0.13113815075921909</v>
      </c>
      <c r="C36" s="18">
        <f t="shared" si="5"/>
        <v>0.16806743271424374</v>
      </c>
      <c r="D36" s="18">
        <f t="shared" si="5"/>
        <v>-8.2500329962824193E-2</v>
      </c>
      <c r="E36" s="18">
        <f t="shared" si="5"/>
        <v>-8.5710116322280733E-2</v>
      </c>
      <c r="F36" s="18">
        <f t="shared" si="5"/>
        <v>-6.2161923847695394E-2</v>
      </c>
      <c r="G36" s="18">
        <f t="shared" si="5"/>
        <v>-2.6872872997396505E-2</v>
      </c>
      <c r="H36" s="18">
        <f t="shared" si="5"/>
        <v>-2.3863947104563844E-2</v>
      </c>
      <c r="I36" s="18">
        <f t="shared" si="5"/>
        <v>-1.0772816941779494E-2</v>
      </c>
      <c r="J36" s="18">
        <f t="shared" si="5"/>
        <v>-5.8496993987975955E-3</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-13554000</v>
      </c>
      <c r="C39" s="4">
        <v>-15776000</v>
      </c>
      <c r="D39" s="4">
        <v>-60135000</v>
      </c>
      <c r="E39" s="4">
        <v>-59574000</v>
      </c>
      <c r="F39" s="5">
        <v>-31232000</v>
      </c>
      <c r="G39" s="4">
        <v>-18445000</v>
      </c>
      <c r="H39" s="4">
        <v>-13930000</v>
      </c>
      <c r="I39" s="4">
        <v>-2582000</v>
      </c>
      <c r="J39" s="4">
        <v>3725000</v>
      </c>
    </row>
    <row r="40" spans="1:10" ht="16" x14ac:dyDescent="0.2">
      <c r="A40" s="3" t="s">
        <v>39</v>
      </c>
      <c r="B40" s="4">
        <v>31809000</v>
      </c>
      <c r="C40" s="4">
        <v>31992000</v>
      </c>
      <c r="D40" s="4">
        <v>23433000</v>
      </c>
      <c r="E40" s="4">
        <v>39470000</v>
      </c>
      <c r="F40" s="5">
        <v>40460750</v>
      </c>
      <c r="G40" s="4">
        <v>39753000</v>
      </c>
      <c r="H40" s="4">
        <v>40250000</v>
      </c>
      <c r="I40" s="4">
        <v>40618000</v>
      </c>
      <c r="J40" s="4">
        <v>41222000</v>
      </c>
    </row>
    <row r="41" spans="1:10" ht="16" x14ac:dyDescent="0.2">
      <c r="A41" s="3" t="s">
        <v>40</v>
      </c>
      <c r="B41" s="6">
        <v>-0.43</v>
      </c>
      <c r="C41" s="6">
        <v>-0.49</v>
      </c>
      <c r="D41" s="6">
        <v>-2.57</v>
      </c>
      <c r="E41" s="6">
        <v>-1.51</v>
      </c>
      <c r="F41" s="7">
        <v>-0.77</v>
      </c>
      <c r="G41" s="6">
        <v>-0.46</v>
      </c>
      <c r="H41" s="6">
        <v>-0.35</v>
      </c>
      <c r="I41" s="6">
        <v>-0.06</v>
      </c>
      <c r="J41" s="6">
        <v>0.09</v>
      </c>
    </row>
    <row r="42" spans="1:10" ht="16" x14ac:dyDescent="0.2">
      <c r="A42" s="3" t="s">
        <v>41</v>
      </c>
      <c r="B42" s="6">
        <v>-0.43</v>
      </c>
      <c r="C42" s="6">
        <v>-0.49</v>
      </c>
      <c r="D42" s="6">
        <v>-2.57</v>
      </c>
      <c r="E42" s="6">
        <v>-1.51</v>
      </c>
      <c r="F42" s="7">
        <v>-0.77</v>
      </c>
      <c r="G42" s="6">
        <v>-0.46</v>
      </c>
      <c r="H42" s="6">
        <v>-0.35</v>
      </c>
      <c r="I42" s="6">
        <v>-0.06</v>
      </c>
      <c r="J42" s="6">
        <v>0.09</v>
      </c>
    </row>
    <row r="43" spans="1:10" ht="16" x14ac:dyDescent="0.2">
      <c r="A43" s="3" t="s">
        <v>42</v>
      </c>
      <c r="B43" s="4">
        <v>31809000</v>
      </c>
      <c r="C43" s="4">
        <v>31992000</v>
      </c>
      <c r="D43" s="4">
        <v>23433000</v>
      </c>
      <c r="E43" s="4">
        <v>39470000</v>
      </c>
      <c r="F43" s="5">
        <v>41873250</v>
      </c>
      <c r="G43" s="4">
        <v>39753000</v>
      </c>
      <c r="H43" s="4">
        <v>40250000</v>
      </c>
      <c r="I43" s="4">
        <v>40618000</v>
      </c>
      <c r="J43" s="4">
        <v>46872000</v>
      </c>
    </row>
    <row r="44" spans="1:10" ht="16" x14ac:dyDescent="0.2">
      <c r="A44" s="3" t="s">
        <v>43</v>
      </c>
      <c r="B44" s="6">
        <v>-0.43</v>
      </c>
      <c r="C44" s="6">
        <v>-0.49</v>
      </c>
      <c r="D44" s="6">
        <v>-2.57</v>
      </c>
      <c r="E44" s="6">
        <v>-1.51</v>
      </c>
      <c r="F44" s="7">
        <v>-0.75</v>
      </c>
      <c r="G44" s="6">
        <v>-0.46</v>
      </c>
      <c r="H44" s="6">
        <v>-0.35</v>
      </c>
      <c r="I44" s="6">
        <v>-0.06</v>
      </c>
      <c r="J44" s="6">
        <v>0.08</v>
      </c>
    </row>
    <row r="45" spans="1:10" ht="16" x14ac:dyDescent="0.2">
      <c r="A45" s="3" t="s">
        <v>44</v>
      </c>
      <c r="B45" s="6">
        <v>-0.43</v>
      </c>
      <c r="C45" s="6">
        <v>-0.49</v>
      </c>
      <c r="D45" s="6">
        <v>-2.57</v>
      </c>
      <c r="E45" s="6">
        <v>-1.51</v>
      </c>
      <c r="F45" s="7">
        <v>-0.75</v>
      </c>
      <c r="G45" s="6">
        <v>-0.46</v>
      </c>
      <c r="H45" s="6">
        <v>-0.35</v>
      </c>
      <c r="I45" s="6">
        <v>-0.06</v>
      </c>
      <c r="J45" s="6">
        <v>0.08</v>
      </c>
    </row>
    <row r="46" spans="1:10" ht="16" x14ac:dyDescent="0.2">
      <c r="A46" s="3" t="s">
        <v>45</v>
      </c>
      <c r="B46" s="4">
        <v>-11646000</v>
      </c>
      <c r="C46" s="4">
        <v>-13755000</v>
      </c>
      <c r="D46" s="4">
        <v>-57281000</v>
      </c>
      <c r="E46" s="4">
        <v>-60325000</v>
      </c>
      <c r="F46" s="5">
        <v>-45376000</v>
      </c>
      <c r="G46" s="4">
        <v>-18680000</v>
      </c>
      <c r="H46" s="4">
        <v>-16708000</v>
      </c>
      <c r="I46" s="4">
        <v>-6757000</v>
      </c>
      <c r="J46" s="4">
        <v>-3231000</v>
      </c>
    </row>
    <row r="47" spans="1:10" ht="16" x14ac:dyDescent="0.2">
      <c r="A47" s="3" t="s">
        <v>46</v>
      </c>
      <c r="B47" s="6">
        <v>-16.46</v>
      </c>
      <c r="C47" s="6">
        <v>-8.51</v>
      </c>
      <c r="D47" s="6">
        <v>-22.84</v>
      </c>
      <c r="E47" s="6">
        <v>-16.329999999999998</v>
      </c>
      <c r="F47" s="7">
        <v>-10.26</v>
      </c>
      <c r="G47" s="6">
        <v>-17.8</v>
      </c>
      <c r="H47" s="6">
        <v>-16.329999999999998</v>
      </c>
      <c r="I47" s="6">
        <v>-13.87</v>
      </c>
      <c r="J47" s="6">
        <v>-10.26</v>
      </c>
    </row>
    <row r="48" spans="1:10" ht="16" x14ac:dyDescent="0.2">
      <c r="A48" s="3" t="s">
        <v>47</v>
      </c>
      <c r="B48" s="4">
        <v>-12897000</v>
      </c>
      <c r="C48" s="4">
        <v>-16011000</v>
      </c>
      <c r="D48" s="4">
        <v>-60007000</v>
      </c>
      <c r="E48" s="4">
        <v>-65195000</v>
      </c>
      <c r="F48" s="5">
        <v>-51698000</v>
      </c>
      <c r="G48" s="4">
        <v>-20162000</v>
      </c>
      <c r="H48" s="4">
        <v>-18152000</v>
      </c>
      <c r="I48" s="4">
        <v>-8519000</v>
      </c>
      <c r="J48" s="4">
        <v>-4865000</v>
      </c>
    </row>
    <row r="49" spans="1:10" ht="16" x14ac:dyDescent="0.2">
      <c r="A49" s="3" t="s">
        <v>48</v>
      </c>
      <c r="B49" s="4">
        <v>-12897000</v>
      </c>
      <c r="C49" s="4">
        <v>-16011000</v>
      </c>
      <c r="D49" s="4">
        <v>-60007000</v>
      </c>
      <c r="E49" s="4">
        <v>-65195000</v>
      </c>
      <c r="F49" s="5">
        <v>-51698000</v>
      </c>
      <c r="G49" s="4">
        <v>-20162000</v>
      </c>
      <c r="H49" s="4">
        <v>-18152000</v>
      </c>
      <c r="I49" s="4">
        <v>-8519000</v>
      </c>
      <c r="J49" s="4">
        <v>-4865000</v>
      </c>
    </row>
    <row r="50" spans="1:10" ht="16" x14ac:dyDescent="0.2">
      <c r="A50" s="3" t="s">
        <v>52</v>
      </c>
      <c r="B50" s="4" t="s">
        <v>15</v>
      </c>
      <c r="C50" s="4" t="s">
        <v>15</v>
      </c>
      <c r="D50" s="4">
        <v>501544</v>
      </c>
      <c r="E50" s="4">
        <v>615825</v>
      </c>
      <c r="F50" s="5">
        <v>737315</v>
      </c>
      <c r="G50" s="4">
        <v>192130</v>
      </c>
      <c r="H50" s="4">
        <v>173040</v>
      </c>
      <c r="I50" s="4">
        <v>192768</v>
      </c>
      <c r="J50" s="4">
        <v>211398</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1251000</v>
      </c>
      <c r="C52" s="4">
        <v>2256000</v>
      </c>
      <c r="D52" s="4">
        <v>2726000</v>
      </c>
      <c r="E52" s="4">
        <v>4870000</v>
      </c>
      <c r="F52" s="5">
        <v>6322000</v>
      </c>
      <c r="G52" s="4">
        <v>1482000</v>
      </c>
      <c r="H52" s="4">
        <v>1444000</v>
      </c>
      <c r="I52" s="4">
        <v>1762000</v>
      </c>
      <c r="J52" s="4">
        <v>1634000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78923000</v>
      </c>
      <c r="C55" s="4">
        <v>158380000</v>
      </c>
      <c r="D55" s="4">
        <v>619271000</v>
      </c>
      <c r="E55" s="4">
        <v>697183000</v>
      </c>
      <c r="F55" s="5">
        <v>784941000</v>
      </c>
      <c r="G55" s="4">
        <v>668331000</v>
      </c>
      <c r="H55" s="4">
        <v>697183000</v>
      </c>
      <c r="I55" s="4">
        <v>741234000</v>
      </c>
      <c r="J55" s="4">
        <v>784941000</v>
      </c>
    </row>
    <row r="56" spans="1:10" ht="16" x14ac:dyDescent="0.2">
      <c r="A56" s="3" t="s">
        <v>56</v>
      </c>
      <c r="B56" s="4">
        <v>59843000</v>
      </c>
      <c r="C56" s="4">
        <v>120490000</v>
      </c>
      <c r="D56" s="4">
        <v>553922000</v>
      </c>
      <c r="E56" s="4">
        <v>608180000</v>
      </c>
      <c r="F56" s="5">
        <v>678665000</v>
      </c>
      <c r="G56" s="4">
        <v>599967000</v>
      </c>
      <c r="H56" s="4">
        <v>608180000</v>
      </c>
      <c r="I56" s="4">
        <v>641091000</v>
      </c>
      <c r="J56" s="4">
        <v>678665000</v>
      </c>
    </row>
    <row r="57" spans="1:10" ht="16" x14ac:dyDescent="0.2">
      <c r="A57" s="3" t="s">
        <v>57</v>
      </c>
      <c r="B57" s="4">
        <v>59843000</v>
      </c>
      <c r="C57" s="4">
        <v>120490000</v>
      </c>
      <c r="D57" s="4">
        <v>553922000</v>
      </c>
      <c r="E57" s="4">
        <v>608180000</v>
      </c>
      <c r="F57" s="5">
        <v>678665000</v>
      </c>
      <c r="G57" s="4">
        <v>599967000</v>
      </c>
      <c r="H57" s="4">
        <v>608180000</v>
      </c>
      <c r="I57" s="4">
        <v>641091000</v>
      </c>
      <c r="J57" s="4">
        <v>678665000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10005000</v>
      </c>
      <c r="C59" s="4">
        <v>20450000</v>
      </c>
      <c r="D59" s="4">
        <v>33163000</v>
      </c>
      <c r="E59" s="4">
        <v>46728000</v>
      </c>
      <c r="F59" s="5">
        <v>53406000</v>
      </c>
      <c r="G59" s="4">
        <v>30197000</v>
      </c>
      <c r="H59" s="4">
        <v>46728000</v>
      </c>
      <c r="I59" s="4">
        <v>52509000</v>
      </c>
      <c r="J59" s="4">
        <v>53406000</v>
      </c>
    </row>
    <row r="60" spans="1:10" ht="16" x14ac:dyDescent="0.2">
      <c r="A60" s="3" t="s">
        <v>60</v>
      </c>
      <c r="B60" s="4">
        <v>10005000</v>
      </c>
      <c r="C60" s="4">
        <v>20450000</v>
      </c>
      <c r="D60" s="4">
        <v>33163000</v>
      </c>
      <c r="E60" s="4">
        <v>46728000</v>
      </c>
      <c r="F60" s="5">
        <v>53406000</v>
      </c>
      <c r="G60" s="4">
        <v>30197000</v>
      </c>
      <c r="H60" s="4">
        <v>46728000</v>
      </c>
      <c r="I60" s="4">
        <v>52509000</v>
      </c>
      <c r="J60" s="4">
        <v>53406000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9075000</v>
      </c>
      <c r="C70" s="4">
        <v>17440000</v>
      </c>
      <c r="D70" s="4">
        <v>32186000</v>
      </c>
      <c r="E70" s="4">
        <v>42275000</v>
      </c>
      <c r="F70" s="5">
        <v>52870000</v>
      </c>
      <c r="G70" s="4">
        <v>38167000</v>
      </c>
      <c r="H70" s="4">
        <v>42275000</v>
      </c>
      <c r="I70" s="4">
        <v>47634000</v>
      </c>
      <c r="J70" s="4">
        <v>52870000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16136000</v>
      </c>
      <c r="C76" s="4">
        <v>17359000</v>
      </c>
      <c r="D76" s="4">
        <v>42040000</v>
      </c>
      <c r="E76" s="4">
        <v>50164000</v>
      </c>
      <c r="F76" s="5">
        <v>49862000</v>
      </c>
      <c r="G76" s="4">
        <v>45368000</v>
      </c>
      <c r="H76" s="4">
        <v>50164000</v>
      </c>
      <c r="I76" s="4">
        <v>49145000</v>
      </c>
      <c r="J76" s="4">
        <v>49862000</v>
      </c>
    </row>
    <row r="77" spans="1:10" ht="16" x14ac:dyDescent="0.2">
      <c r="A77" s="3" t="s">
        <v>77</v>
      </c>
      <c r="B77" s="4">
        <v>13821000</v>
      </c>
      <c r="C77" s="4">
        <v>14501000</v>
      </c>
      <c r="D77" s="4">
        <v>36580000</v>
      </c>
      <c r="E77" s="4">
        <v>35477000</v>
      </c>
      <c r="F77" s="5">
        <v>33547000</v>
      </c>
      <c r="G77" s="4">
        <v>36341000</v>
      </c>
      <c r="H77" s="4">
        <v>35477000</v>
      </c>
      <c r="I77" s="4">
        <v>34621000</v>
      </c>
      <c r="J77" s="4">
        <v>33547000</v>
      </c>
    </row>
    <row r="78" spans="1:10" ht="16" x14ac:dyDescent="0.2">
      <c r="A78" s="3" t="s">
        <v>78</v>
      </c>
      <c r="B78" s="4">
        <v>15265000</v>
      </c>
      <c r="C78" s="4">
        <v>17568000</v>
      </c>
      <c r="D78" s="4">
        <v>41680000</v>
      </c>
      <c r="E78" s="4">
        <v>43695000</v>
      </c>
      <c r="F78" s="5">
        <v>43785000</v>
      </c>
      <c r="G78" s="4">
        <v>43694000</v>
      </c>
      <c r="H78" s="4">
        <v>43695000</v>
      </c>
      <c r="I78" s="4">
        <v>43848000</v>
      </c>
      <c r="J78" s="4">
        <v>43785000</v>
      </c>
    </row>
    <row r="79" spans="1:10" ht="16" x14ac:dyDescent="0.2">
      <c r="A79" s="3" t="s">
        <v>79</v>
      </c>
      <c r="B79" s="4">
        <v>1444000</v>
      </c>
      <c r="C79" s="4">
        <v>3067000</v>
      </c>
      <c r="D79" s="4">
        <v>5100000</v>
      </c>
      <c r="E79" s="4">
        <v>8218000</v>
      </c>
      <c r="F79" s="5">
        <v>10238000</v>
      </c>
      <c r="G79" s="4">
        <v>7353000</v>
      </c>
      <c r="H79" s="4">
        <v>8218000</v>
      </c>
      <c r="I79" s="4">
        <v>9227000</v>
      </c>
      <c r="J79" s="4">
        <v>10238000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2315000</v>
      </c>
      <c r="C83" s="4">
        <v>2858000</v>
      </c>
      <c r="D83" s="4">
        <v>5460000</v>
      </c>
      <c r="E83" s="4">
        <v>14687000</v>
      </c>
      <c r="F83" s="5">
        <v>16315000</v>
      </c>
      <c r="G83" s="4">
        <v>9027000</v>
      </c>
      <c r="H83" s="4">
        <v>14687000</v>
      </c>
      <c r="I83" s="4">
        <v>14524000</v>
      </c>
      <c r="J83" s="4">
        <v>16315000</v>
      </c>
    </row>
    <row r="84" spans="1:10" ht="16" x14ac:dyDescent="0.2">
      <c r="A84" s="3" t="s">
        <v>84</v>
      </c>
      <c r="B84" s="4">
        <v>1791000</v>
      </c>
      <c r="C84" s="4">
        <v>2296000</v>
      </c>
      <c r="D84" s="4">
        <v>4566000</v>
      </c>
      <c r="E84" s="4">
        <v>12547000</v>
      </c>
      <c r="F84" s="5">
        <v>14446000</v>
      </c>
      <c r="G84" s="4">
        <v>7018000</v>
      </c>
      <c r="H84" s="4">
        <v>12547000</v>
      </c>
      <c r="I84" s="4">
        <v>12525000</v>
      </c>
      <c r="J84" s="4">
        <v>14446000</v>
      </c>
    </row>
    <row r="85" spans="1:10" ht="16" x14ac:dyDescent="0.2">
      <c r="A85" s="3" t="s">
        <v>85</v>
      </c>
      <c r="B85" s="4" t="s">
        <v>15</v>
      </c>
      <c r="C85" s="4" t="s">
        <v>15</v>
      </c>
      <c r="D85" s="4" t="s">
        <v>15</v>
      </c>
      <c r="E85" s="4">
        <v>4050000</v>
      </c>
      <c r="F85" s="5">
        <v>4050000</v>
      </c>
      <c r="G85" s="4" t="s">
        <v>15</v>
      </c>
      <c r="H85" s="4">
        <v>4050000</v>
      </c>
      <c r="I85" s="4">
        <v>4050000</v>
      </c>
      <c r="J85" s="4">
        <v>4050000</v>
      </c>
    </row>
    <row r="86" spans="1:10" ht="16" x14ac:dyDescent="0.2">
      <c r="A86" s="3" t="s">
        <v>86</v>
      </c>
      <c r="B86" s="4">
        <v>1791000</v>
      </c>
      <c r="C86" s="4">
        <v>2296000</v>
      </c>
      <c r="D86" s="4">
        <v>4566000</v>
      </c>
      <c r="E86" s="4">
        <v>8497000</v>
      </c>
      <c r="F86" s="5">
        <v>10396000</v>
      </c>
      <c r="G86" s="4">
        <v>7018000</v>
      </c>
      <c r="H86" s="4">
        <v>8497000</v>
      </c>
      <c r="I86" s="4">
        <v>8475000</v>
      </c>
      <c r="J86" s="4">
        <v>10396000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524000</v>
      </c>
      <c r="C89" s="4">
        <v>562000</v>
      </c>
      <c r="D89" s="4">
        <v>894000</v>
      </c>
      <c r="E89" s="4">
        <v>2140000</v>
      </c>
      <c r="F89" s="5">
        <v>1869000</v>
      </c>
      <c r="G89" s="4">
        <v>2009000</v>
      </c>
      <c r="H89" s="4">
        <v>2140000</v>
      </c>
      <c r="I89" s="4">
        <v>1999000</v>
      </c>
      <c r="J89" s="4">
        <v>1869000</v>
      </c>
    </row>
    <row r="90" spans="1:10" ht="16" x14ac:dyDescent="0.2">
      <c r="A90" s="3" t="s">
        <v>90</v>
      </c>
      <c r="B90" s="4">
        <v>95059000</v>
      </c>
      <c r="C90" s="4">
        <v>175739000</v>
      </c>
      <c r="D90" s="4">
        <v>661311000</v>
      </c>
      <c r="E90" s="4">
        <v>747347000</v>
      </c>
      <c r="F90" s="5">
        <v>834803000</v>
      </c>
      <c r="G90" s="4">
        <v>713699000</v>
      </c>
      <c r="H90" s="4">
        <v>747347000</v>
      </c>
      <c r="I90" s="4">
        <v>790379000</v>
      </c>
      <c r="J90" s="4">
        <v>834803000</v>
      </c>
    </row>
    <row r="91" spans="1:10" ht="16" x14ac:dyDescent="0.2">
      <c r="A91" s="3" t="s">
        <v>91</v>
      </c>
      <c r="B91" s="4">
        <v>3834000</v>
      </c>
      <c r="C91" s="4">
        <v>6078000</v>
      </c>
      <c r="D91" s="4">
        <v>20864000</v>
      </c>
      <c r="E91" s="4">
        <v>1177000</v>
      </c>
      <c r="F91" s="5">
        <v>2305000</v>
      </c>
      <c r="G91" s="4">
        <v>3363000</v>
      </c>
      <c r="H91" s="4">
        <v>1177000</v>
      </c>
      <c r="I91" s="4">
        <v>986000</v>
      </c>
      <c r="J91" s="4">
        <v>2305000</v>
      </c>
    </row>
    <row r="92" spans="1:10" ht="16" x14ac:dyDescent="0.2">
      <c r="A92" s="3" t="s">
        <v>92</v>
      </c>
      <c r="B92" s="4">
        <v>3811000</v>
      </c>
      <c r="C92" s="4">
        <v>2196000</v>
      </c>
      <c r="D92" s="4">
        <v>7818000</v>
      </c>
      <c r="E92" s="4">
        <v>1177000</v>
      </c>
      <c r="F92" s="5">
        <v>2305000</v>
      </c>
      <c r="G92" s="4">
        <v>3363000</v>
      </c>
      <c r="H92" s="4">
        <v>1177000</v>
      </c>
      <c r="I92" s="4">
        <v>986000</v>
      </c>
      <c r="J92" s="4">
        <v>2305000</v>
      </c>
    </row>
    <row r="93" spans="1:10" ht="16" x14ac:dyDescent="0.2">
      <c r="A93" s="3" t="s">
        <v>93</v>
      </c>
      <c r="B93" s="4">
        <v>23000</v>
      </c>
      <c r="C93" s="4">
        <v>2369000</v>
      </c>
      <c r="D93" s="4">
        <v>113000</v>
      </c>
      <c r="E93" s="4">
        <v>3465000</v>
      </c>
      <c r="F93" s="5">
        <v>2538000</v>
      </c>
      <c r="G93" s="4">
        <v>2304000</v>
      </c>
      <c r="H93" s="4">
        <v>3465000</v>
      </c>
      <c r="I93" s="4">
        <v>3346000</v>
      </c>
      <c r="J93" s="4">
        <v>2538000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1513000</v>
      </c>
      <c r="D95" s="4">
        <v>12933000</v>
      </c>
      <c r="E95" s="4">
        <v>-3465000</v>
      </c>
      <c r="F95" s="5">
        <v>-2538000</v>
      </c>
      <c r="G95" s="4">
        <v>-2304000</v>
      </c>
      <c r="H95" s="4">
        <v>-3465000</v>
      </c>
      <c r="I95" s="4">
        <v>-3346000</v>
      </c>
      <c r="J95" s="4">
        <v>-2538000</v>
      </c>
    </row>
    <row r="96" spans="1:10" ht="16" x14ac:dyDescent="0.2">
      <c r="A96" s="3" t="s">
        <v>96</v>
      </c>
      <c r="B96" s="4">
        <v>974000</v>
      </c>
      <c r="C96" s="4">
        <v>1111000</v>
      </c>
      <c r="D96" s="4">
        <v>3336000</v>
      </c>
      <c r="E96" s="4">
        <v>4903000</v>
      </c>
      <c r="F96" s="5">
        <v>6053000</v>
      </c>
      <c r="G96" s="4">
        <v>4636000</v>
      </c>
      <c r="H96" s="4">
        <v>4903000</v>
      </c>
      <c r="I96" s="4">
        <v>5524000</v>
      </c>
      <c r="J96" s="4">
        <v>6053000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v>974000</v>
      </c>
      <c r="C98" s="4">
        <v>1111000</v>
      </c>
      <c r="D98" s="4">
        <v>3336000</v>
      </c>
      <c r="E98" s="4">
        <v>4903000</v>
      </c>
      <c r="F98" s="5">
        <v>6053000</v>
      </c>
      <c r="G98" s="4">
        <v>4636000</v>
      </c>
      <c r="H98" s="4">
        <v>4903000</v>
      </c>
      <c r="I98" s="4">
        <v>5524000</v>
      </c>
      <c r="J98" s="4">
        <v>6053000</v>
      </c>
    </row>
    <row r="99" spans="1:10" ht="16" x14ac:dyDescent="0.2">
      <c r="A99" s="3" t="s">
        <v>99</v>
      </c>
      <c r="B99" s="4">
        <v>27299000</v>
      </c>
      <c r="C99" s="4">
        <v>58501000</v>
      </c>
      <c r="D99" s="4">
        <v>94931000</v>
      </c>
      <c r="E99" s="4">
        <v>175686000</v>
      </c>
      <c r="F99" s="5">
        <v>208748000</v>
      </c>
      <c r="G99" s="4">
        <v>147631000</v>
      </c>
      <c r="H99" s="4">
        <v>175686000</v>
      </c>
      <c r="I99" s="4">
        <v>196303000</v>
      </c>
      <c r="J99" s="4">
        <v>208748000</v>
      </c>
    </row>
    <row r="100" spans="1:10" ht="16" x14ac:dyDescent="0.2">
      <c r="A100" s="3" t="s">
        <v>100</v>
      </c>
      <c r="B100" s="4">
        <v>26307000</v>
      </c>
      <c r="C100" s="4">
        <v>54792000</v>
      </c>
      <c r="D100" s="4">
        <v>98267000</v>
      </c>
      <c r="E100" s="4">
        <v>157550000</v>
      </c>
      <c r="F100" s="5">
        <v>192753000</v>
      </c>
      <c r="G100" s="4">
        <v>134944000</v>
      </c>
      <c r="H100" s="4">
        <v>157550000</v>
      </c>
      <c r="I100" s="4">
        <v>181942000</v>
      </c>
      <c r="J100" s="4">
        <v>192753000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992000</v>
      </c>
      <c r="C103" s="4">
        <v>3709000</v>
      </c>
      <c r="D103" s="4">
        <v>-3336000</v>
      </c>
      <c r="E103" s="4">
        <v>18136000</v>
      </c>
      <c r="F103" s="5">
        <v>15995000</v>
      </c>
      <c r="G103" s="4">
        <v>12687000</v>
      </c>
      <c r="H103" s="4">
        <v>18136000</v>
      </c>
      <c r="I103" s="4">
        <v>14361000</v>
      </c>
      <c r="J103" s="4">
        <v>15995000</v>
      </c>
    </row>
    <row r="104" spans="1:10" ht="16" x14ac:dyDescent="0.2">
      <c r="A104" s="3" t="s">
        <v>104</v>
      </c>
      <c r="B104" s="4">
        <v>32107000</v>
      </c>
      <c r="C104" s="4">
        <v>65690000</v>
      </c>
      <c r="D104" s="4">
        <v>119131000</v>
      </c>
      <c r="E104" s="4">
        <v>181766000</v>
      </c>
      <c r="F104" s="5">
        <v>217106000</v>
      </c>
      <c r="G104" s="4">
        <v>155630000</v>
      </c>
      <c r="H104" s="4">
        <v>181766000</v>
      </c>
      <c r="I104" s="4">
        <v>202813000</v>
      </c>
      <c r="J104" s="4">
        <v>217106000</v>
      </c>
    </row>
    <row r="105" spans="1:10" ht="16" x14ac:dyDescent="0.2">
      <c r="A105" s="3" t="s">
        <v>105</v>
      </c>
      <c r="B105" s="4">
        <v>9242000</v>
      </c>
      <c r="C105" s="4">
        <v>8131000</v>
      </c>
      <c r="D105" s="4">
        <v>29124000</v>
      </c>
      <c r="E105" s="4">
        <v>23503000</v>
      </c>
      <c r="F105" s="5">
        <v>21292000</v>
      </c>
      <c r="G105" s="4">
        <v>24243000</v>
      </c>
      <c r="H105" s="4">
        <v>23503000</v>
      </c>
      <c r="I105" s="4">
        <v>22378000</v>
      </c>
      <c r="J105" s="4">
        <v>21292000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9242000</v>
      </c>
      <c r="C107" s="4">
        <v>8131000</v>
      </c>
      <c r="D107" s="4">
        <v>29124000</v>
      </c>
      <c r="E107" s="4">
        <v>23503000</v>
      </c>
      <c r="F107" s="5">
        <v>21292000</v>
      </c>
      <c r="G107" s="4">
        <v>24243000</v>
      </c>
      <c r="H107" s="4">
        <v>23503000</v>
      </c>
      <c r="I107" s="4">
        <v>22378000</v>
      </c>
      <c r="J107" s="4">
        <v>21292000</v>
      </c>
    </row>
    <row r="108" spans="1:10" ht="16" x14ac:dyDescent="0.2">
      <c r="A108" s="3" t="s">
        <v>108</v>
      </c>
      <c r="B108" s="4">
        <v>137686000</v>
      </c>
      <c r="C108" s="4">
        <v>182609000</v>
      </c>
      <c r="D108" s="4" t="s">
        <v>15</v>
      </c>
      <c r="E108" s="4" t="s">
        <v>15</v>
      </c>
      <c r="F108" s="5" t="s">
        <v>15</v>
      </c>
      <c r="G108" s="4" t="s">
        <v>15</v>
      </c>
      <c r="H108" s="4" t="s">
        <v>15</v>
      </c>
      <c r="I108" s="4" t="s">
        <v>15</v>
      </c>
      <c r="J108" s="4" t="s">
        <v>15</v>
      </c>
    </row>
    <row r="109" spans="1:10" ht="16" x14ac:dyDescent="0.2">
      <c r="A109" s="3" t="s">
        <v>109</v>
      </c>
      <c r="B109" s="4" t="s">
        <v>15</v>
      </c>
      <c r="C109" s="4" t="s">
        <v>15</v>
      </c>
      <c r="D109" s="4" t="s">
        <v>15</v>
      </c>
      <c r="E109" s="4" t="s">
        <v>15</v>
      </c>
      <c r="F109" s="5" t="s">
        <v>15</v>
      </c>
      <c r="G109" s="4" t="s">
        <v>15</v>
      </c>
      <c r="H109" s="4" t="s">
        <v>15</v>
      </c>
      <c r="I109" s="4" t="s">
        <v>15</v>
      </c>
      <c r="J109" s="4" t="s">
        <v>15</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137686000</v>
      </c>
      <c r="C114" s="4">
        <v>182609000</v>
      </c>
      <c r="D114" s="4" t="s">
        <v>15</v>
      </c>
      <c r="E114" s="4" t="s">
        <v>15</v>
      </c>
      <c r="F114" s="5" t="s">
        <v>15</v>
      </c>
      <c r="G114" s="4" t="s">
        <v>15</v>
      </c>
      <c r="H114" s="4" t="s">
        <v>15</v>
      </c>
      <c r="I114" s="4" t="s">
        <v>15</v>
      </c>
      <c r="J114" s="4" t="s">
        <v>15</v>
      </c>
    </row>
    <row r="115" spans="1:10" ht="16" x14ac:dyDescent="0.2">
      <c r="A115" s="3" t="s">
        <v>112</v>
      </c>
      <c r="B115" s="4">
        <v>146928000</v>
      </c>
      <c r="C115" s="4">
        <v>190740000</v>
      </c>
      <c r="D115" s="4">
        <v>29124000</v>
      </c>
      <c r="E115" s="4">
        <v>23503000</v>
      </c>
      <c r="F115" s="5">
        <v>21292000</v>
      </c>
      <c r="G115" s="4">
        <v>24243000</v>
      </c>
      <c r="H115" s="4">
        <v>23503000</v>
      </c>
      <c r="I115" s="4">
        <v>22378000</v>
      </c>
      <c r="J115" s="4">
        <v>21292000</v>
      </c>
    </row>
    <row r="116" spans="1:10" ht="16" x14ac:dyDescent="0.2">
      <c r="A116" s="3" t="s">
        <v>113</v>
      </c>
      <c r="B116" s="4">
        <v>179035000</v>
      </c>
      <c r="C116" s="4">
        <v>256430000</v>
      </c>
      <c r="D116" s="4">
        <v>148255000</v>
      </c>
      <c r="E116" s="4">
        <v>205269000</v>
      </c>
      <c r="F116" s="5">
        <v>238398000</v>
      </c>
      <c r="G116" s="4">
        <v>179873000</v>
      </c>
      <c r="H116" s="4">
        <v>205269000</v>
      </c>
      <c r="I116" s="4">
        <v>225191000</v>
      </c>
      <c r="J116" s="4">
        <v>238398000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11027000</v>
      </c>
      <c r="C118" s="4">
        <v>30088000</v>
      </c>
      <c r="D118" s="4">
        <v>683970000</v>
      </c>
      <c r="E118" s="4">
        <v>772566000</v>
      </c>
      <c r="F118" s="5">
        <v>825750000</v>
      </c>
      <c r="G118" s="4">
        <v>750384000</v>
      </c>
      <c r="H118" s="4">
        <v>772566000</v>
      </c>
      <c r="I118" s="4">
        <v>798258000</v>
      </c>
      <c r="J118" s="4">
        <v>825750000</v>
      </c>
    </row>
    <row r="119" spans="1:10" ht="16" x14ac:dyDescent="0.2">
      <c r="A119" s="3" t="s">
        <v>116</v>
      </c>
      <c r="B119" s="4">
        <v>1000</v>
      </c>
      <c r="C119" s="4">
        <v>1000</v>
      </c>
      <c r="D119" s="4">
        <v>4000</v>
      </c>
      <c r="E119" s="4">
        <v>4000</v>
      </c>
      <c r="F119" s="5">
        <v>4000</v>
      </c>
      <c r="G119" s="4">
        <v>4000</v>
      </c>
      <c r="H119" s="4">
        <v>4000</v>
      </c>
      <c r="I119" s="4">
        <v>4000</v>
      </c>
      <c r="J119" s="4">
        <v>4000</v>
      </c>
    </row>
    <row r="120" spans="1:10" ht="16" x14ac:dyDescent="0.2">
      <c r="A120" s="3" t="s">
        <v>117</v>
      </c>
      <c r="B120" s="4">
        <v>11026000</v>
      </c>
      <c r="C120" s="4">
        <v>30087000</v>
      </c>
      <c r="D120" s="4">
        <v>683966000</v>
      </c>
      <c r="E120" s="4">
        <v>772562000</v>
      </c>
      <c r="F120" s="5">
        <v>825746000</v>
      </c>
      <c r="G120" s="4">
        <v>750380000</v>
      </c>
      <c r="H120" s="4">
        <v>772562000</v>
      </c>
      <c r="I120" s="4">
        <v>798254000</v>
      </c>
      <c r="J120" s="4">
        <v>825746000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-95003000</v>
      </c>
      <c r="C122" s="4">
        <v>-110779000</v>
      </c>
      <c r="D122" s="4">
        <v>-170914000</v>
      </c>
      <c r="E122" s="4">
        <v>-230488000</v>
      </c>
      <c r="F122" s="5">
        <v>-229345000</v>
      </c>
      <c r="G122" s="4">
        <v>-216558000</v>
      </c>
      <c r="H122" s="4">
        <v>-230488000</v>
      </c>
      <c r="I122" s="4">
        <v>-233070000</v>
      </c>
      <c r="J122" s="4">
        <v>-229345000</v>
      </c>
    </row>
    <row r="123" spans="1:10" ht="16" x14ac:dyDescent="0.2">
      <c r="A123" s="3" t="s">
        <v>120</v>
      </c>
      <c r="B123" s="4" t="s">
        <v>15</v>
      </c>
      <c r="C123" s="4" t="s">
        <v>15</v>
      </c>
      <c r="D123" s="4" t="s">
        <v>15</v>
      </c>
      <c r="E123" s="4" t="s">
        <v>15</v>
      </c>
      <c r="F123" s="5" t="s">
        <v>15</v>
      </c>
      <c r="G123" s="4" t="s">
        <v>15</v>
      </c>
      <c r="H123" s="4" t="s">
        <v>15</v>
      </c>
      <c r="I123" s="4" t="s">
        <v>15</v>
      </c>
      <c r="J123" s="4" t="s">
        <v>15</v>
      </c>
    </row>
    <row r="124" spans="1:10" ht="16" x14ac:dyDescent="0.2">
      <c r="A124" s="3" t="s">
        <v>121</v>
      </c>
      <c r="B124" s="4">
        <v>-83976000</v>
      </c>
      <c r="C124" s="4">
        <v>-80691000</v>
      </c>
      <c r="D124" s="4">
        <v>513056000</v>
      </c>
      <c r="E124" s="4">
        <v>542078000</v>
      </c>
      <c r="F124" s="5">
        <v>596405000</v>
      </c>
      <c r="G124" s="4">
        <v>533826000</v>
      </c>
      <c r="H124" s="4">
        <v>542078000</v>
      </c>
      <c r="I124" s="4">
        <v>565188000</v>
      </c>
      <c r="J124" s="4">
        <v>596405000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-83976000</v>
      </c>
      <c r="C126" s="4">
        <v>-80691000</v>
      </c>
      <c r="D126" s="4">
        <v>513056000</v>
      </c>
      <c r="E126" s="4">
        <v>542078000</v>
      </c>
      <c r="F126" s="5">
        <v>596405000</v>
      </c>
      <c r="G126" s="4">
        <v>533826000</v>
      </c>
      <c r="H126" s="4">
        <v>542078000</v>
      </c>
      <c r="I126" s="4">
        <v>565188000</v>
      </c>
      <c r="J126" s="4">
        <v>596405000</v>
      </c>
    </row>
    <row r="127" spans="1:10" ht="16" x14ac:dyDescent="0.2">
      <c r="A127" s="3" t="s">
        <v>124</v>
      </c>
      <c r="B127" s="4">
        <v>95059000</v>
      </c>
      <c r="C127" s="4">
        <v>175739000</v>
      </c>
      <c r="D127" s="4">
        <v>661311000</v>
      </c>
      <c r="E127" s="4">
        <v>747347000</v>
      </c>
      <c r="F127" s="5">
        <v>834803000</v>
      </c>
      <c r="G127" s="4">
        <v>713699000</v>
      </c>
      <c r="H127" s="4">
        <v>747347000</v>
      </c>
      <c r="I127" s="4">
        <v>790379000</v>
      </c>
      <c r="J127" s="4">
        <v>834803000</v>
      </c>
    </row>
    <row r="128" spans="1:10" ht="16" x14ac:dyDescent="0.2">
      <c r="A128" s="33" t="s">
        <v>125</v>
      </c>
      <c r="B128" s="29">
        <v>31809000</v>
      </c>
      <c r="C128" s="29">
        <v>31992000</v>
      </c>
      <c r="D128" s="29">
        <v>38272000</v>
      </c>
      <c r="E128" s="29">
        <v>40361000</v>
      </c>
      <c r="F128" s="30">
        <v>41531000</v>
      </c>
      <c r="G128" s="29">
        <v>40086000</v>
      </c>
      <c r="H128" s="29">
        <v>40361000</v>
      </c>
      <c r="I128" s="29">
        <v>41018000</v>
      </c>
      <c r="J128" s="29">
        <v>41531000</v>
      </c>
    </row>
    <row r="129" spans="1:10" ht="16" x14ac:dyDescent="0.2">
      <c r="A129" s="13" t="s">
        <v>188</v>
      </c>
      <c r="B129" s="14"/>
      <c r="C129" s="19">
        <f>(C128/B128)-1</f>
        <v>5.753088748467361E-3</v>
      </c>
      <c r="D129" s="19">
        <f>(D128/C128)-1</f>
        <v>0.19629907476869213</v>
      </c>
      <c r="E129" s="19">
        <f>(E128/D128)-1</f>
        <v>5.4582984949832714E-2</v>
      </c>
      <c r="F129" s="19">
        <f t="shared" ref="F129:J129" si="6">(F128/E128)-1</f>
        <v>2.8988379871658365E-2</v>
      </c>
      <c r="G129" s="19">
        <f t="shared" si="6"/>
        <v>-3.4793286942284118E-2</v>
      </c>
      <c r="H129" s="19">
        <f t="shared" si="6"/>
        <v>6.8602504615078441E-3</v>
      </c>
      <c r="I129" s="19">
        <f t="shared" si="6"/>
        <v>1.6278090235623432E-2</v>
      </c>
      <c r="J129" s="19">
        <f t="shared" si="6"/>
        <v>1.2506704373689503E-2</v>
      </c>
    </row>
    <row r="130" spans="1:10" ht="16" x14ac:dyDescent="0.2">
      <c r="A130" s="3" t="s">
        <v>126</v>
      </c>
      <c r="B130" s="4">
        <v>10216000</v>
      </c>
      <c r="C130" s="4">
        <v>9242000</v>
      </c>
      <c r="D130" s="4">
        <v>32460000</v>
      </c>
      <c r="E130" s="4">
        <v>28406000</v>
      </c>
      <c r="F130" s="5">
        <v>27345000</v>
      </c>
      <c r="G130" s="4">
        <v>28879000</v>
      </c>
      <c r="H130" s="4">
        <v>28406000</v>
      </c>
      <c r="I130" s="4">
        <v>27902000</v>
      </c>
      <c r="J130" s="4">
        <v>27345000</v>
      </c>
    </row>
    <row r="131" spans="1:10" ht="16" x14ac:dyDescent="0.2">
      <c r="A131" s="3" t="s">
        <v>127</v>
      </c>
      <c r="B131" s="4">
        <v>-59843000</v>
      </c>
      <c r="C131" s="4">
        <v>-120490000</v>
      </c>
      <c r="D131" s="4">
        <v>-553922000</v>
      </c>
      <c r="E131" s="4">
        <v>-608180000</v>
      </c>
      <c r="F131" s="5">
        <v>-678665000</v>
      </c>
      <c r="G131" s="4">
        <v>-599967000</v>
      </c>
      <c r="H131" s="4">
        <v>-608180000</v>
      </c>
      <c r="I131" s="4">
        <v>-641091000</v>
      </c>
      <c r="J131" s="4">
        <v>-678665000</v>
      </c>
    </row>
    <row r="132" spans="1:10" ht="16" x14ac:dyDescent="0.2">
      <c r="A132" s="3" t="s">
        <v>128</v>
      </c>
      <c r="B132" s="6">
        <v>71.260000000000005</v>
      </c>
      <c r="C132" s="6">
        <v>149.32</v>
      </c>
      <c r="D132" s="6">
        <v>-107.97</v>
      </c>
      <c r="E132" s="6">
        <v>-112.19</v>
      </c>
      <c r="F132" s="7">
        <v>-113.79</v>
      </c>
      <c r="G132" s="6">
        <v>-112.39</v>
      </c>
      <c r="H132" s="6">
        <v>-112.19</v>
      </c>
      <c r="I132" s="6">
        <v>-113.43</v>
      </c>
      <c r="J132" s="6">
        <v>-113.79</v>
      </c>
    </row>
    <row r="133" spans="1:10" ht="16" x14ac:dyDescent="0.2">
      <c r="A133" s="3" t="s">
        <v>129</v>
      </c>
      <c r="B133" s="6">
        <v>-91.96</v>
      </c>
      <c r="C133" s="6">
        <v>-47.85</v>
      </c>
      <c r="D133" s="6">
        <v>77.430000000000007</v>
      </c>
      <c r="E133" s="6">
        <v>72.06</v>
      </c>
      <c r="F133" s="7">
        <v>70.94</v>
      </c>
      <c r="G133" s="6">
        <v>74.55</v>
      </c>
      <c r="H133" s="6">
        <v>72.06</v>
      </c>
      <c r="I133" s="6">
        <v>71.05</v>
      </c>
      <c r="J133" s="6">
        <v>70.94</v>
      </c>
    </row>
    <row r="134" spans="1:10" ht="16" x14ac:dyDescent="0.2">
      <c r="A134" s="3" t="s">
        <v>130</v>
      </c>
      <c r="B134" s="6">
        <v>2.46</v>
      </c>
      <c r="C134" s="6">
        <v>2.41</v>
      </c>
      <c r="D134" s="6">
        <v>5.2</v>
      </c>
      <c r="E134" s="6">
        <v>3.84</v>
      </c>
      <c r="F134" s="7">
        <v>3.62</v>
      </c>
      <c r="G134" s="6">
        <v>4.29</v>
      </c>
      <c r="H134" s="6">
        <v>3.84</v>
      </c>
      <c r="I134" s="6">
        <v>3.65</v>
      </c>
      <c r="J134" s="6">
        <v>3.62</v>
      </c>
    </row>
    <row r="135" spans="1:10" ht="16" x14ac:dyDescent="0.2">
      <c r="A135" s="3" t="s">
        <v>131</v>
      </c>
      <c r="B135" s="4" t="s">
        <v>15</v>
      </c>
      <c r="C135" s="6">
        <v>10.53</v>
      </c>
      <c r="D135" s="6">
        <v>12.6</v>
      </c>
      <c r="E135" s="6">
        <v>22.95</v>
      </c>
      <c r="F135" s="7">
        <v>27.84</v>
      </c>
      <c r="G135" s="6">
        <v>3.4</v>
      </c>
      <c r="H135" s="6">
        <v>22.95</v>
      </c>
      <c r="I135" s="6">
        <v>31.62</v>
      </c>
      <c r="J135" s="6">
        <v>27.84</v>
      </c>
    </row>
    <row r="136" spans="1:10" ht="16" x14ac:dyDescent="0.2">
      <c r="A136" s="3" t="s">
        <v>132</v>
      </c>
      <c r="B136" s="4" t="s">
        <v>15</v>
      </c>
      <c r="C136" s="4" t="s">
        <v>15</v>
      </c>
      <c r="D136" s="4">
        <v>500</v>
      </c>
      <c r="E136" s="4">
        <v>600</v>
      </c>
      <c r="F136" s="5">
        <v>600</v>
      </c>
      <c r="G136" s="4">
        <v>500</v>
      </c>
      <c r="H136" s="4">
        <v>600</v>
      </c>
      <c r="I136" s="4">
        <v>600</v>
      </c>
      <c r="J136" s="4">
        <v>600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-13554000</v>
      </c>
      <c r="C139" s="4">
        <v>-15776000</v>
      </c>
      <c r="D139" s="4">
        <v>-60135000</v>
      </c>
      <c r="E139" s="4">
        <v>-59574000</v>
      </c>
      <c r="F139" s="5">
        <v>-31232000</v>
      </c>
      <c r="G139" s="4">
        <v>-18445000</v>
      </c>
      <c r="H139" s="4">
        <v>-13930000</v>
      </c>
      <c r="I139" s="4">
        <v>-2582000</v>
      </c>
      <c r="J139" s="4">
        <v>3725000</v>
      </c>
    </row>
    <row r="140" spans="1:10" ht="16" x14ac:dyDescent="0.2">
      <c r="A140" s="3" t="s">
        <v>134</v>
      </c>
      <c r="B140" s="4">
        <v>1251000</v>
      </c>
      <c r="C140" s="4">
        <v>2256000</v>
      </c>
      <c r="D140" s="4">
        <v>2726000</v>
      </c>
      <c r="E140" s="4">
        <v>4870000</v>
      </c>
      <c r="F140" s="5">
        <v>6322000</v>
      </c>
      <c r="G140" s="4">
        <v>1482000</v>
      </c>
      <c r="H140" s="4">
        <v>1444000</v>
      </c>
      <c r="I140" s="4">
        <v>1762000</v>
      </c>
      <c r="J140" s="4">
        <v>1634000</v>
      </c>
    </row>
    <row r="141" spans="1:10" ht="16" x14ac:dyDescent="0.2">
      <c r="A141" s="3" t="s">
        <v>135</v>
      </c>
      <c r="B141" s="4">
        <v>4953000</v>
      </c>
      <c r="C141" s="4">
        <v>17031000</v>
      </c>
      <c r="D141" s="4">
        <v>40804000</v>
      </c>
      <c r="E141" s="4">
        <v>73820000</v>
      </c>
      <c r="F141" s="5">
        <v>85807000</v>
      </c>
      <c r="G141" s="4">
        <v>20488000</v>
      </c>
      <c r="H141" s="4">
        <v>20632000</v>
      </c>
      <c r="I141" s="4">
        <v>20973000</v>
      </c>
      <c r="J141" s="4">
        <v>23714000</v>
      </c>
    </row>
    <row r="142" spans="1:10" ht="16" x14ac:dyDescent="0.2">
      <c r="A142" s="33" t="s">
        <v>136</v>
      </c>
      <c r="B142" s="29">
        <v>3725000</v>
      </c>
      <c r="C142" s="29">
        <v>17031000</v>
      </c>
      <c r="D142" s="29">
        <v>40804000</v>
      </c>
      <c r="E142" s="29">
        <v>73820000</v>
      </c>
      <c r="F142" s="30">
        <v>85907000</v>
      </c>
      <c r="G142" s="29">
        <v>20488000</v>
      </c>
      <c r="H142" s="29">
        <v>20632000</v>
      </c>
      <c r="I142" s="29">
        <v>21073000</v>
      </c>
      <c r="J142" s="29">
        <v>23714000</v>
      </c>
    </row>
    <row r="143" spans="1:10" ht="16" x14ac:dyDescent="0.2">
      <c r="A143" s="9" t="s">
        <v>189</v>
      </c>
      <c r="B143" s="19">
        <f t="shared" ref="B143:J143" si="7">B142/B2</f>
        <v>5.2642736009044656E-2</v>
      </c>
      <c r="C143" s="19">
        <f t="shared" si="7"/>
        <v>0.10532728082327331</v>
      </c>
      <c r="D143" s="19">
        <f t="shared" si="7"/>
        <v>0.16271354058666837</v>
      </c>
      <c r="E143" s="19">
        <f t="shared" si="7"/>
        <v>0.19978619467110514</v>
      </c>
      <c r="F143" s="19">
        <f t="shared" si="7"/>
        <v>0.19418882476734275</v>
      </c>
      <c r="G143" s="19">
        <f t="shared" si="7"/>
        <v>0.21327226357154011</v>
      </c>
      <c r="H143" s="19">
        <f t="shared" si="7"/>
        <v>0.19872091231314531</v>
      </c>
      <c r="I143" s="19">
        <f t="shared" si="7"/>
        <v>0.18219624592559289</v>
      </c>
      <c r="J143" s="19">
        <f t="shared" si="7"/>
        <v>0.18696142353692477</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1228000</v>
      </c>
      <c r="C145" s="4" t="s">
        <v>15</v>
      </c>
      <c r="D145" s="4" t="s">
        <v>15</v>
      </c>
      <c r="E145" s="4" t="s">
        <v>15</v>
      </c>
      <c r="F145" s="5" t="s">
        <v>15</v>
      </c>
      <c r="G145" s="4" t="s">
        <v>15</v>
      </c>
      <c r="H145" s="4" t="s">
        <v>15</v>
      </c>
      <c r="I145" s="4" t="s">
        <v>15</v>
      </c>
      <c r="J145" s="4" t="s">
        <v>15</v>
      </c>
    </row>
    <row r="146" spans="1:10" ht="16" x14ac:dyDescent="0.2">
      <c r="A146" s="3" t="s">
        <v>139</v>
      </c>
      <c r="B146" s="4" t="s">
        <v>15</v>
      </c>
      <c r="C146" s="4" t="s">
        <v>15</v>
      </c>
      <c r="D146" s="4" t="s">
        <v>15</v>
      </c>
      <c r="E146" s="4" t="s">
        <v>15</v>
      </c>
      <c r="F146" s="5">
        <v>-100000</v>
      </c>
      <c r="G146" s="4" t="s">
        <v>15</v>
      </c>
      <c r="H146" s="4" t="s">
        <v>15</v>
      </c>
      <c r="I146" s="4">
        <v>-100000</v>
      </c>
      <c r="J146" s="4" t="s">
        <v>15</v>
      </c>
    </row>
    <row r="147" spans="1:10" ht="16" x14ac:dyDescent="0.2">
      <c r="A147" s="3" t="s">
        <v>140</v>
      </c>
      <c r="B147" s="4">
        <v>9502000</v>
      </c>
      <c r="C147" s="4">
        <v>14197000</v>
      </c>
      <c r="D147" s="4">
        <v>25775000</v>
      </c>
      <c r="E147" s="4">
        <v>34540000</v>
      </c>
      <c r="F147" s="5">
        <v>26241000</v>
      </c>
      <c r="G147" s="4">
        <v>5234000</v>
      </c>
      <c r="H147" s="4">
        <v>3462000</v>
      </c>
      <c r="I147" s="4">
        <v>9451000</v>
      </c>
      <c r="J147" s="4">
        <v>8094000</v>
      </c>
    </row>
    <row r="148" spans="1:10" ht="16" x14ac:dyDescent="0.2">
      <c r="A148" s="3" t="s">
        <v>141</v>
      </c>
      <c r="B148" s="4">
        <v>-5301000</v>
      </c>
      <c r="C148" s="4">
        <v>-10445000</v>
      </c>
      <c r="D148" s="4">
        <v>-12713000</v>
      </c>
      <c r="E148" s="4">
        <v>-13565000</v>
      </c>
      <c r="F148" s="5">
        <v>-25197000</v>
      </c>
      <c r="G148" s="4">
        <v>-1988000</v>
      </c>
      <c r="H148" s="4">
        <v>-16531000</v>
      </c>
      <c r="I148" s="4">
        <v>-5781000</v>
      </c>
      <c r="J148" s="4">
        <v>-897000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-995000</v>
      </c>
      <c r="C150" s="4">
        <v>-1712000</v>
      </c>
      <c r="D150" s="4">
        <v>-4048000</v>
      </c>
      <c r="E150" s="4">
        <v>-1415000</v>
      </c>
      <c r="F150" s="5">
        <v>-3593000</v>
      </c>
      <c r="G150" s="4">
        <v>-1416000</v>
      </c>
      <c r="H150" s="4">
        <v>739000</v>
      </c>
      <c r="I150" s="4">
        <v>-263000</v>
      </c>
      <c r="J150" s="4">
        <v>-2653000</v>
      </c>
    </row>
    <row r="151" spans="1:10" ht="16" x14ac:dyDescent="0.2">
      <c r="A151" s="3" t="s">
        <v>144</v>
      </c>
      <c r="B151" s="4">
        <v>3869000</v>
      </c>
      <c r="C151" s="4">
        <v>4598000</v>
      </c>
      <c r="D151" s="4">
        <v>9330000</v>
      </c>
      <c r="E151" s="4">
        <v>2065000</v>
      </c>
      <c r="F151" s="5">
        <v>4897000</v>
      </c>
      <c r="G151" s="4">
        <v>3214000</v>
      </c>
      <c r="H151" s="4">
        <v>1660000</v>
      </c>
      <c r="I151" s="4">
        <v>-3546000</v>
      </c>
      <c r="J151" s="4">
        <v>3569000</v>
      </c>
    </row>
    <row r="152" spans="1:10" ht="16" x14ac:dyDescent="0.2">
      <c r="A152" s="3" t="s">
        <v>145</v>
      </c>
      <c r="B152" s="4">
        <v>11929000</v>
      </c>
      <c r="C152" s="4">
        <v>21756000</v>
      </c>
      <c r="D152" s="4">
        <v>33206000</v>
      </c>
      <c r="E152" s="4">
        <v>47455000</v>
      </c>
      <c r="F152" s="5">
        <v>50134000</v>
      </c>
      <c r="G152" s="4">
        <v>5424000</v>
      </c>
      <c r="H152" s="4">
        <v>17594000</v>
      </c>
      <c r="I152" s="4">
        <v>19041000</v>
      </c>
      <c r="J152" s="4">
        <v>8075000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2152000</v>
      </c>
      <c r="C154" s="4">
        <v>17708000</v>
      </c>
      <c r="D154" s="4">
        <v>9170000</v>
      </c>
      <c r="E154" s="4">
        <v>53656000</v>
      </c>
      <c r="F154" s="5">
        <v>87138000</v>
      </c>
      <c r="G154" s="4">
        <v>8759000</v>
      </c>
      <c r="H154" s="4">
        <v>11608000</v>
      </c>
      <c r="I154" s="4">
        <v>29604000</v>
      </c>
      <c r="J154" s="4">
        <v>37167000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-5246000</v>
      </c>
      <c r="C159" s="4">
        <v>-4014000</v>
      </c>
      <c r="D159" s="4">
        <v>-6206000</v>
      </c>
      <c r="E159" s="4">
        <v>-10124000</v>
      </c>
      <c r="F159" s="5">
        <v>-6650000</v>
      </c>
      <c r="G159" s="4">
        <v>-3516000</v>
      </c>
      <c r="H159" s="4">
        <v>-895000</v>
      </c>
      <c r="I159" s="4">
        <v>-1412000</v>
      </c>
      <c r="J159" s="4">
        <v>-827000</v>
      </c>
    </row>
    <row r="160" spans="1:10" ht="16" x14ac:dyDescent="0.2">
      <c r="A160" s="3" t="s">
        <v>153</v>
      </c>
      <c r="B160" s="4">
        <v>-3770000</v>
      </c>
      <c r="C160" s="4">
        <v>-3376000</v>
      </c>
      <c r="D160" s="4">
        <v>-3586000</v>
      </c>
      <c r="E160" s="4">
        <v>-5562000</v>
      </c>
      <c r="F160" s="5">
        <v>-3879000</v>
      </c>
      <c r="G160" s="4">
        <v>-2079000</v>
      </c>
      <c r="H160" s="4">
        <v>-292000</v>
      </c>
      <c r="I160" s="4">
        <v>-681000</v>
      </c>
      <c r="J160" s="4">
        <v>-827000</v>
      </c>
    </row>
    <row r="161" spans="1:10" ht="16" x14ac:dyDescent="0.2">
      <c r="A161" s="3" t="s">
        <v>154</v>
      </c>
      <c r="B161" s="4">
        <v>-1476000</v>
      </c>
      <c r="C161" s="4">
        <v>-638000</v>
      </c>
      <c r="D161" s="4">
        <v>-2620000</v>
      </c>
      <c r="E161" s="4">
        <v>-4562000</v>
      </c>
      <c r="F161" s="5">
        <v>-2771000</v>
      </c>
      <c r="G161" s="4">
        <v>-1437000</v>
      </c>
      <c r="H161" s="4">
        <v>-603000</v>
      </c>
      <c r="I161" s="4">
        <v>-731000</v>
      </c>
      <c r="J161" s="4" t="s">
        <v>15</v>
      </c>
    </row>
    <row r="162" spans="1:10" ht="16" x14ac:dyDescent="0.2">
      <c r="A162" s="3" t="s">
        <v>155</v>
      </c>
      <c r="B162" s="4">
        <v>7677000</v>
      </c>
      <c r="C162" s="4" t="s">
        <v>15</v>
      </c>
      <c r="D162" s="4" t="s">
        <v>15</v>
      </c>
      <c r="E162" s="4" t="s">
        <v>15</v>
      </c>
      <c r="F162" s="5" t="s">
        <v>15</v>
      </c>
      <c r="G162" s="4" t="s">
        <v>15</v>
      </c>
      <c r="H162" s="4" t="s">
        <v>15</v>
      </c>
      <c r="I162" s="4" t="s">
        <v>15</v>
      </c>
      <c r="J162" s="4" t="s">
        <v>15</v>
      </c>
    </row>
    <row r="163" spans="1:10" ht="16" x14ac:dyDescent="0.2">
      <c r="A163" s="3" t="s">
        <v>156</v>
      </c>
      <c r="B163" s="4">
        <v>7677000</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t="s">
        <v>15</v>
      </c>
      <c r="D165" s="4" t="s">
        <v>15</v>
      </c>
      <c r="E165" s="4">
        <v>-4050000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v>-4050000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v>-6494000</v>
      </c>
      <c r="G169" s="4" t="s">
        <v>15</v>
      </c>
      <c r="H169" s="4">
        <v>-4050000</v>
      </c>
      <c r="I169" s="4">
        <v>100000</v>
      </c>
      <c r="J169" s="4">
        <v>-2544000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2431000</v>
      </c>
      <c r="C171" s="4">
        <v>-4014000</v>
      </c>
      <c r="D171" s="4">
        <v>-6206000</v>
      </c>
      <c r="E171" s="4">
        <v>-14174000</v>
      </c>
      <c r="F171" s="5">
        <v>-13144000</v>
      </c>
      <c r="G171" s="4">
        <v>-3516000</v>
      </c>
      <c r="H171" s="4">
        <v>-4945000</v>
      </c>
      <c r="I171" s="4">
        <v>-1312000</v>
      </c>
      <c r="J171" s="4">
        <v>-3371000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v>-168000</v>
      </c>
      <c r="C176" s="4" t="s">
        <v>15</v>
      </c>
      <c r="D176" s="4">
        <v>425323000</v>
      </c>
      <c r="E176" s="4" t="s">
        <v>15</v>
      </c>
      <c r="F176" s="5" t="s">
        <v>15</v>
      </c>
      <c r="G176" s="4" t="s">
        <v>15</v>
      </c>
      <c r="H176" s="4" t="s">
        <v>15</v>
      </c>
      <c r="I176" s="4" t="s">
        <v>15</v>
      </c>
      <c r="J176" s="4" t="s">
        <v>15</v>
      </c>
    </row>
    <row r="177" spans="1:10" ht="16" x14ac:dyDescent="0.2">
      <c r="A177" s="3" t="s">
        <v>169</v>
      </c>
      <c r="B177" s="4" t="s">
        <v>15</v>
      </c>
      <c r="C177" s="4" t="s">
        <v>15</v>
      </c>
      <c r="D177" s="4">
        <v>426191000</v>
      </c>
      <c r="E177" s="4" t="s">
        <v>15</v>
      </c>
      <c r="F177" s="5" t="s">
        <v>15</v>
      </c>
      <c r="G177" s="4" t="s">
        <v>15</v>
      </c>
      <c r="H177" s="4" t="s">
        <v>15</v>
      </c>
      <c r="I177" s="4" t="s">
        <v>15</v>
      </c>
      <c r="J177" s="4" t="s">
        <v>15</v>
      </c>
    </row>
    <row r="178" spans="1:10" ht="16" x14ac:dyDescent="0.2">
      <c r="A178" s="3" t="s">
        <v>170</v>
      </c>
      <c r="B178" s="4">
        <v>-168000</v>
      </c>
      <c r="C178" s="4" t="s">
        <v>15</v>
      </c>
      <c r="D178" s="4">
        <v>-868000</v>
      </c>
      <c r="E178" s="4" t="s">
        <v>15</v>
      </c>
      <c r="F178" s="5" t="s">
        <v>15</v>
      </c>
      <c r="G178" s="4" t="s">
        <v>15</v>
      </c>
      <c r="H178" s="4" t="s">
        <v>15</v>
      </c>
      <c r="I178" s="4" t="s">
        <v>15</v>
      </c>
      <c r="J178" s="4" t="s">
        <v>15</v>
      </c>
    </row>
    <row r="179" spans="1:10" ht="16" x14ac:dyDescent="0.2">
      <c r="A179" s="3" t="s">
        <v>171</v>
      </c>
      <c r="B179" s="4">
        <v>31138000</v>
      </c>
      <c r="C179" s="4">
        <v>46953000</v>
      </c>
      <c r="D179" s="4">
        <v>5145000</v>
      </c>
      <c r="E179" s="4">
        <v>14776000</v>
      </c>
      <c r="F179" s="5">
        <v>13511000</v>
      </c>
      <c r="G179" s="4">
        <v>3564000</v>
      </c>
      <c r="H179" s="4">
        <v>1550000</v>
      </c>
      <c r="I179" s="4">
        <v>4619000</v>
      </c>
      <c r="J179" s="4">
        <v>3778000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30970000</v>
      </c>
      <c r="C181" s="4">
        <v>46953000</v>
      </c>
      <c r="D181" s="4">
        <v>430468000</v>
      </c>
      <c r="E181" s="4">
        <v>14776000</v>
      </c>
      <c r="F181" s="5">
        <v>13511000</v>
      </c>
      <c r="G181" s="4">
        <v>3564000</v>
      </c>
      <c r="H181" s="4">
        <v>1550000</v>
      </c>
      <c r="I181" s="4">
        <v>4619000</v>
      </c>
      <c r="J181" s="4">
        <v>3778000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35553000</v>
      </c>
      <c r="C183" s="4">
        <v>60647000</v>
      </c>
      <c r="D183" s="4">
        <v>433432000</v>
      </c>
      <c r="E183" s="4">
        <v>54258000</v>
      </c>
      <c r="F183" s="5">
        <v>87505000</v>
      </c>
      <c r="G183" s="4">
        <v>8807000</v>
      </c>
      <c r="H183" s="4">
        <v>8213000</v>
      </c>
      <c r="I183" s="4">
        <v>32911000</v>
      </c>
      <c r="J183" s="4">
        <v>37574000</v>
      </c>
    </row>
    <row r="184" spans="1:10" ht="16" x14ac:dyDescent="0.2">
      <c r="A184" s="3" t="s">
        <v>45</v>
      </c>
      <c r="B184" s="4">
        <v>-11646000</v>
      </c>
      <c r="C184" s="4">
        <v>-13755000</v>
      </c>
      <c r="D184" s="4">
        <v>-57281000</v>
      </c>
      <c r="E184" s="4">
        <v>-60325000</v>
      </c>
      <c r="F184" s="5">
        <v>-45376000</v>
      </c>
      <c r="G184" s="4">
        <v>-18680000</v>
      </c>
      <c r="H184" s="4">
        <v>-16708000</v>
      </c>
      <c r="I184" s="4">
        <v>-6757000</v>
      </c>
      <c r="J184" s="4">
        <v>-3231000</v>
      </c>
    </row>
    <row r="185" spans="1:10" ht="16" x14ac:dyDescent="0.2">
      <c r="A185" s="3" t="s">
        <v>46</v>
      </c>
      <c r="B185" s="6">
        <v>-16.46</v>
      </c>
      <c r="C185" s="6">
        <v>-8.51</v>
      </c>
      <c r="D185" s="6">
        <v>-22.84</v>
      </c>
      <c r="E185" s="6">
        <v>-16.329999999999998</v>
      </c>
      <c r="F185" s="7">
        <v>-10.26</v>
      </c>
      <c r="G185" s="6">
        <v>-17.8</v>
      </c>
      <c r="H185" s="6">
        <v>-16.329999999999998</v>
      </c>
      <c r="I185" s="6">
        <v>-13.87</v>
      </c>
      <c r="J185" s="6">
        <v>-10.26</v>
      </c>
    </row>
    <row r="186" spans="1:10" ht="16" x14ac:dyDescent="0.2">
      <c r="A186" s="3" t="s">
        <v>175</v>
      </c>
      <c r="B186" s="4" t="s">
        <v>15</v>
      </c>
      <c r="C186" s="4" t="s">
        <v>15</v>
      </c>
      <c r="D186" s="4" t="s">
        <v>15</v>
      </c>
      <c r="E186" s="4">
        <v>4050000</v>
      </c>
      <c r="F186" s="5" t="s">
        <v>15</v>
      </c>
      <c r="G186" s="4" t="s">
        <v>15</v>
      </c>
      <c r="H186" s="4" t="s">
        <v>15</v>
      </c>
      <c r="I186" s="4" t="s">
        <v>15</v>
      </c>
      <c r="J186" s="4" t="s">
        <v>15</v>
      </c>
    </row>
    <row r="187" spans="1:10" ht="16" x14ac:dyDescent="0.2">
      <c r="A187" s="3" t="s">
        <v>176</v>
      </c>
      <c r="B187" s="4">
        <v>-3094000</v>
      </c>
      <c r="C187" s="4">
        <v>13694000</v>
      </c>
      <c r="D187" s="4">
        <v>2964000</v>
      </c>
      <c r="E187" s="4">
        <v>43532000</v>
      </c>
      <c r="F187" s="5">
        <v>80488000</v>
      </c>
      <c r="G187" s="4">
        <v>5243000</v>
      </c>
      <c r="H187" s="4">
        <v>10713000</v>
      </c>
      <c r="I187" s="4">
        <v>28192000</v>
      </c>
      <c r="J187" s="4">
        <v>36340000</v>
      </c>
    </row>
    <row r="188" spans="1:10" ht="16" x14ac:dyDescent="0.2">
      <c r="A188" s="27" t="s">
        <v>177</v>
      </c>
      <c r="B188" s="25">
        <v>-3094000</v>
      </c>
      <c r="C188" s="25">
        <v>13694000</v>
      </c>
      <c r="D188" s="25">
        <v>2964000</v>
      </c>
      <c r="E188" s="25">
        <v>43532000</v>
      </c>
      <c r="F188" s="26">
        <v>80488000</v>
      </c>
      <c r="G188" s="25">
        <v>5243000</v>
      </c>
      <c r="H188" s="25">
        <v>10713000</v>
      </c>
      <c r="I188" s="25">
        <v>28192000</v>
      </c>
      <c r="J188" s="25">
        <v>36340000</v>
      </c>
    </row>
    <row r="189" spans="1:10" ht="16" x14ac:dyDescent="0.2">
      <c r="A189" s="20" t="s">
        <v>190</v>
      </c>
      <c r="B189" s="21"/>
      <c r="C189" s="22">
        <f>(C188/B188)-1</f>
        <v>-5.4259857789269557</v>
      </c>
      <c r="D189" s="22">
        <f>(D188/C188)-1</f>
        <v>-0.78355484153643928</v>
      </c>
      <c r="E189" s="22">
        <f>(E188/D188)-1</f>
        <v>13.686909581646423</v>
      </c>
      <c r="F189" s="22">
        <f t="shared" ref="F189:J189" si="8">(F188/E188)-1</f>
        <v>0.8489387117522742</v>
      </c>
      <c r="G189" s="22"/>
      <c r="H189" s="22">
        <f t="shared" si="8"/>
        <v>1.0432958230020981</v>
      </c>
      <c r="I189" s="22">
        <f t="shared" si="8"/>
        <v>1.6315691216279289</v>
      </c>
      <c r="J189" s="22">
        <f t="shared" si="8"/>
        <v>0.28901816118047674</v>
      </c>
    </row>
    <row r="190" spans="1:10" ht="16" x14ac:dyDescent="0.2">
      <c r="A190" s="23" t="s">
        <v>191</v>
      </c>
      <c r="B190" s="24">
        <f t="shared" ref="B190:J190" si="9">B188/B2</f>
        <v>-4.3725268513284343E-2</v>
      </c>
      <c r="C190" s="24">
        <f t="shared" si="9"/>
        <v>8.468978824460717E-2</v>
      </c>
      <c r="D190" s="24">
        <f t="shared" si="9"/>
        <v>1.1819501379739365E-2</v>
      </c>
      <c r="E190" s="24">
        <f t="shared" si="9"/>
        <v>0.11781485541076334</v>
      </c>
      <c r="F190" s="24">
        <f t="shared" si="9"/>
        <v>0.18193942435277549</v>
      </c>
      <c r="G190" s="24">
        <f t="shared" si="9"/>
        <v>5.4577629729870403E-2</v>
      </c>
      <c r="H190" s="24">
        <f t="shared" si="9"/>
        <v>0.10318423485899214</v>
      </c>
      <c r="I190" s="24">
        <f t="shared" si="9"/>
        <v>0.24374681180346011</v>
      </c>
      <c r="J190" s="24">
        <f t="shared" si="9"/>
        <v>0.28650493933253968</v>
      </c>
    </row>
    <row r="191" spans="1:10" ht="16" x14ac:dyDescent="0.2">
      <c r="A191" s="3" t="s">
        <v>178</v>
      </c>
      <c r="B191" s="4" t="s">
        <v>15</v>
      </c>
      <c r="C191" s="4">
        <v>14332000</v>
      </c>
      <c r="D191" s="4">
        <v>5584000</v>
      </c>
      <c r="E191" s="4">
        <v>48094000</v>
      </c>
      <c r="F191" s="5">
        <v>83259000</v>
      </c>
      <c r="G191" s="4">
        <v>6680000</v>
      </c>
      <c r="H191" s="4">
        <v>11316000</v>
      </c>
      <c r="I191" s="4">
        <v>28923000</v>
      </c>
      <c r="J191" s="4">
        <v>36340000</v>
      </c>
    </row>
    <row r="192" spans="1:10" ht="16" x14ac:dyDescent="0.2">
      <c r="A192" s="3" t="s">
        <v>179</v>
      </c>
      <c r="B192" s="6">
        <v>-0.1</v>
      </c>
      <c r="C192" s="6">
        <v>0.43</v>
      </c>
      <c r="D192" s="6">
        <v>0.13</v>
      </c>
      <c r="E192" s="6">
        <v>1.1000000000000001</v>
      </c>
      <c r="F192" s="7">
        <v>1.99</v>
      </c>
      <c r="G192" s="6">
        <v>0.13</v>
      </c>
      <c r="H192" s="6">
        <v>0.27</v>
      </c>
      <c r="I192" s="6">
        <v>0.69</v>
      </c>
      <c r="J192" s="6">
        <v>0.88</v>
      </c>
    </row>
    <row r="193" spans="1:10" ht="16" x14ac:dyDescent="0.2">
      <c r="A193" s="3" t="s">
        <v>180</v>
      </c>
      <c r="B193" s="4" t="s">
        <v>15</v>
      </c>
      <c r="C193" s="4" t="s">
        <v>15</v>
      </c>
      <c r="D193" s="6">
        <v>161.71</v>
      </c>
      <c r="E193" s="6">
        <v>44.02</v>
      </c>
      <c r="F193" s="7">
        <v>63.82</v>
      </c>
      <c r="G193" s="4" t="s">
        <v>15</v>
      </c>
      <c r="H193" s="4" t="s">
        <v>15</v>
      </c>
      <c r="I193" s="6">
        <v>79.98</v>
      </c>
      <c r="J193" s="6">
        <v>64.260000000000005</v>
      </c>
    </row>
    <row r="194" spans="1:10" ht="16" x14ac:dyDescent="0.2">
      <c r="A194" s="3" t="s">
        <v>181</v>
      </c>
      <c r="B194" s="6">
        <v>-0.16</v>
      </c>
      <c r="C194" s="6">
        <v>-1.1200000000000001</v>
      </c>
      <c r="D194" s="6">
        <v>-0.15</v>
      </c>
      <c r="E194" s="6">
        <v>-0.9</v>
      </c>
      <c r="F194" s="7">
        <v>-2.79</v>
      </c>
      <c r="G194" s="6">
        <v>-0.47</v>
      </c>
      <c r="H194" s="6">
        <v>-0.83</v>
      </c>
      <c r="I194" s="6">
        <v>-11.47</v>
      </c>
      <c r="J194" s="6">
        <v>9.98</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270A8-5549-EE44-B886-F59AD6C61E28}">
  <dimension ref="A1:R110"/>
  <sheetViews>
    <sheetView tabSelected="1" workbookViewId="0">
      <selection activeCell="C17" sqref="C17"/>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37" cm="1">
        <f t="array" ref="A3">_FV(A1,"Market cap",TRUE)</f>
        <v>8961547806</v>
      </c>
      <c r="B3" s="38" t="s">
        <v>192</v>
      </c>
      <c r="C3" s="39">
        <f>Financials!F8*0.01</f>
        <v>0.73019999999999996</v>
      </c>
      <c r="D3" s="38" t="s">
        <v>193</v>
      </c>
      <c r="E3" s="39">
        <f>SUM(C11:E11)/3</f>
        <v>0.7698161679778398</v>
      </c>
      <c r="F3" s="40" t="s">
        <v>194</v>
      </c>
      <c r="G3" s="41">
        <f>AVERAGE(Financials!B129:F129)</f>
        <v>7.1405882084662642E-2</v>
      </c>
      <c r="H3" s="40" t="s">
        <v>195</v>
      </c>
      <c r="I3" s="42">
        <f>J15*(1+I7)/(I6-I7)</f>
        <v>3361983329.905107</v>
      </c>
      <c r="J3" s="43" t="s">
        <v>196</v>
      </c>
      <c r="K3" s="44">
        <f>(Financials!F172*-1)/Model!A3</f>
        <v>0</v>
      </c>
      <c r="L3" s="45" t="s">
        <v>197</v>
      </c>
      <c r="M3" s="46"/>
      <c r="N3" s="118" t="s">
        <v>198</v>
      </c>
      <c r="O3" s="119"/>
      <c r="P3" s="46"/>
      <c r="Q3" s="46"/>
      <c r="R3" s="46"/>
    </row>
    <row r="4" spans="1:18" ht="22" customHeight="1" x14ac:dyDescent="0.2">
      <c r="A4" s="47">
        <f>Financials!F56-Financials!F96-Financials!F105</f>
        <v>651320000</v>
      </c>
      <c r="B4" s="48" t="s">
        <v>199</v>
      </c>
      <c r="C4" s="49">
        <f>Financials!F17*0.01</f>
        <v>-0.1169</v>
      </c>
      <c r="D4" s="48" t="s">
        <v>200</v>
      </c>
      <c r="E4" s="49">
        <f>SUM(C13:E13)/3</f>
        <v>0.98880352460678267</v>
      </c>
      <c r="F4" s="50" t="s">
        <v>201</v>
      </c>
      <c r="G4" s="51">
        <f>A5*(1+(5*G3))</f>
        <v>57013989.384231202</v>
      </c>
      <c r="H4" s="50" t="s">
        <v>202</v>
      </c>
      <c r="I4" s="52">
        <f>NPV(I6,F15,G15,H15,I15,(J15+I3))</f>
        <v>2787078402.1401668</v>
      </c>
      <c r="J4" s="50" t="s">
        <v>203</v>
      </c>
      <c r="K4" s="53" cm="1">
        <f t="array" ref="K4">_FV(A1,"Change (%)",TRUE)</f>
        <v>4.7580000000000001E-3</v>
      </c>
      <c r="L4" s="54" t="s">
        <v>204</v>
      </c>
      <c r="M4" s="46"/>
      <c r="N4" s="120" t="s">
        <v>205</v>
      </c>
      <c r="O4" s="121"/>
      <c r="P4" s="46"/>
      <c r="Q4" s="46"/>
      <c r="R4" s="46"/>
    </row>
    <row r="5" spans="1:18" ht="22" customHeight="1" x14ac:dyDescent="0.2">
      <c r="A5" s="47" cm="1">
        <f t="array" ref="A5">_FV(A1,"Shares outstanding",TRUE)</f>
        <v>42013820</v>
      </c>
      <c r="B5" s="48" t="s">
        <v>206</v>
      </c>
      <c r="C5" s="49">
        <f>F14</f>
        <v>0.17087378640776699</v>
      </c>
      <c r="D5" s="55" t="s">
        <v>207</v>
      </c>
      <c r="E5" s="49">
        <f>SUM(C16:E16)/3</f>
        <v>2.4924563203943428</v>
      </c>
      <c r="F5" s="50" t="s">
        <v>208</v>
      </c>
      <c r="G5" s="51">
        <f>Financials!F56</f>
        <v>678665000</v>
      </c>
      <c r="H5" s="50" t="s">
        <v>209</v>
      </c>
      <c r="I5" s="52">
        <f>I4+G5-G6</f>
        <v>3438398402.1401668</v>
      </c>
      <c r="J5" s="50" t="s">
        <v>210</v>
      </c>
      <c r="K5" s="56" cm="1">
        <f t="array" ref="K5">_FV(A1,"Price")</f>
        <v>213.3</v>
      </c>
      <c r="L5" s="57" t="s">
        <v>211</v>
      </c>
      <c r="M5" s="46"/>
      <c r="N5" s="58" t="s">
        <v>212</v>
      </c>
      <c r="O5" s="59">
        <f>Financials!F20</f>
        <v>-17455000</v>
      </c>
      <c r="P5" s="46"/>
      <c r="Q5" s="46"/>
      <c r="R5" s="46"/>
    </row>
    <row r="6" spans="1:18" ht="22" customHeight="1" x14ac:dyDescent="0.2">
      <c r="A6" s="60">
        <f>O20/F10</f>
        <v>17.401063700970873</v>
      </c>
      <c r="B6" s="48" t="s">
        <v>213</v>
      </c>
      <c r="C6" s="49">
        <f>F17</f>
        <v>0.20776699029126214</v>
      </c>
      <c r="D6" s="55" t="s">
        <v>191</v>
      </c>
      <c r="E6" s="49">
        <f>Financials!F33/Financials!F126</f>
        <v>-5.2367099538065578E-2</v>
      </c>
      <c r="F6" s="48" t="s">
        <v>214</v>
      </c>
      <c r="G6" s="51">
        <f>Financials!F96+Financials!F105</f>
        <v>27345000</v>
      </c>
      <c r="H6" s="50" t="s">
        <v>215</v>
      </c>
      <c r="I6" s="53">
        <f>N25</f>
        <v>9.5427178473452764E-2</v>
      </c>
      <c r="J6" s="50" t="s">
        <v>216</v>
      </c>
      <c r="K6" s="61">
        <f>I5/G4</f>
        <v>60.307977731008435</v>
      </c>
      <c r="L6" s="62" t="s">
        <v>217</v>
      </c>
      <c r="M6" s="46"/>
      <c r="N6" s="58" t="s">
        <v>218</v>
      </c>
      <c r="O6" s="59">
        <f>Financials!F96</f>
        <v>6053000</v>
      </c>
      <c r="P6" s="46"/>
      <c r="Q6" s="46"/>
      <c r="R6" s="46"/>
    </row>
    <row r="7" spans="1:18" ht="22" customHeight="1" thickBot="1" x14ac:dyDescent="0.25">
      <c r="A7" s="63">
        <f>O20/F12</f>
        <v>101.83577052272727</v>
      </c>
      <c r="B7" s="64" t="s">
        <v>219</v>
      </c>
      <c r="C7" s="65">
        <f>F15/A3</f>
        <v>1.1939901713001027E-2</v>
      </c>
      <c r="D7" s="64" t="s">
        <v>220</v>
      </c>
      <c r="E7" s="66">
        <f>(Financials!F16*(1-0.25))/(Financials!F126+Financials!F105+Financials!F96)</f>
        <v>-6.2161923847695394E-2</v>
      </c>
      <c r="F7" s="64" t="s">
        <v>187</v>
      </c>
      <c r="G7" s="67">
        <f>(Financials!F96+Financials!F105)/Financials!F126</f>
        <v>4.5849716216329509E-2</v>
      </c>
      <c r="H7" s="68" t="s">
        <v>221</v>
      </c>
      <c r="I7" s="69">
        <v>2.5000000000000001E-2</v>
      </c>
      <c r="J7" s="70" t="s">
        <v>222</v>
      </c>
      <c r="K7" s="71">
        <f>K6/K5-1</f>
        <v>-0.7172621766009919</v>
      </c>
      <c r="L7" s="72" t="s">
        <v>223</v>
      </c>
      <c r="M7" s="46"/>
      <c r="N7" s="58" t="s">
        <v>224</v>
      </c>
      <c r="O7" s="59">
        <f>Financials!F105</f>
        <v>21292000</v>
      </c>
      <c r="P7" s="46"/>
      <c r="Q7" s="46"/>
      <c r="R7" s="46"/>
    </row>
    <row r="8" spans="1:18" ht="22" customHeight="1" x14ac:dyDescent="0.2">
      <c r="A8" s="73"/>
      <c r="B8" s="46"/>
      <c r="C8" s="46"/>
      <c r="D8" s="46"/>
      <c r="E8" s="46"/>
      <c r="F8" s="46"/>
      <c r="G8" s="46"/>
      <c r="H8" s="46"/>
      <c r="I8" s="46"/>
      <c r="J8" s="74"/>
      <c r="K8" s="74"/>
      <c r="L8" s="74"/>
      <c r="M8" s="46"/>
      <c r="N8" s="75" t="s">
        <v>205</v>
      </c>
      <c r="O8" s="76">
        <f>O5/(O6+O7)</f>
        <v>-0.63832510513805085</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-662000</v>
      </c>
      <c r="P9" s="46"/>
      <c r="Q9" s="46"/>
      <c r="R9" s="46"/>
    </row>
    <row r="10" spans="1:18" ht="22" customHeight="1" x14ac:dyDescent="0.2">
      <c r="A10" s="83" t="s">
        <v>226</v>
      </c>
      <c r="B10" s="84">
        <v>70760000</v>
      </c>
      <c r="C10" s="84">
        <v>161696000</v>
      </c>
      <c r="D10" s="84">
        <v>250772000</v>
      </c>
      <c r="E10" s="85">
        <v>369495000</v>
      </c>
      <c r="F10" s="84">
        <v>515000000</v>
      </c>
      <c r="G10" s="84">
        <v>653000000</v>
      </c>
      <c r="H10" s="84">
        <v>817000000</v>
      </c>
      <c r="I10" s="84">
        <v>893000000</v>
      </c>
      <c r="J10" s="85">
        <v>1031000000</v>
      </c>
      <c r="K10" s="86" t="s">
        <v>227</v>
      </c>
      <c r="L10" s="74"/>
      <c r="N10" s="58" t="s">
        <v>228</v>
      </c>
      <c r="O10" s="59">
        <f>Financials!F24</f>
        <v>-31894000</v>
      </c>
      <c r="P10" s="46"/>
      <c r="Q10" s="46"/>
      <c r="R10" s="46"/>
    </row>
    <row r="11" spans="1:18" ht="22" customHeight="1" x14ac:dyDescent="0.2">
      <c r="A11" s="87"/>
      <c r="B11" s="88"/>
      <c r="C11" s="88">
        <f t="shared" ref="C11:J11" si="0">(C10/B10)-1</f>
        <v>1.2851328434143583</v>
      </c>
      <c r="D11" s="88">
        <f t="shared" si="0"/>
        <v>0.5508856125074213</v>
      </c>
      <c r="E11" s="88">
        <f t="shared" si="0"/>
        <v>0.47343004801173971</v>
      </c>
      <c r="F11" s="89">
        <f t="shared" si="0"/>
        <v>0.393794232668913</v>
      </c>
      <c r="G11" s="88">
        <f t="shared" si="0"/>
        <v>0.26796116504854361</v>
      </c>
      <c r="H11" s="88">
        <f t="shared" si="0"/>
        <v>0.25114854517611018</v>
      </c>
      <c r="I11" s="88">
        <f t="shared" si="0"/>
        <v>9.3023255813953432E-2</v>
      </c>
      <c r="J11" s="90">
        <f t="shared" si="0"/>
        <v>0.15453527435610304</v>
      </c>
      <c r="K11" s="90">
        <f>SUM(F11:J11)/5</f>
        <v>0.23209249461272466</v>
      </c>
      <c r="L11" s="74"/>
      <c r="M11" s="74"/>
      <c r="N11" s="58" t="s">
        <v>229</v>
      </c>
      <c r="O11" s="91">
        <f>O9/O10</f>
        <v>2.0756255095002195E-2</v>
      </c>
      <c r="P11" s="46"/>
      <c r="Q11" s="46"/>
      <c r="R11" s="46"/>
    </row>
    <row r="12" spans="1:18" ht="22" customHeight="1" x14ac:dyDescent="0.2">
      <c r="A12" s="83" t="s">
        <v>133</v>
      </c>
      <c r="B12" s="84">
        <v>-13554000</v>
      </c>
      <c r="C12" s="84">
        <v>-15776000</v>
      </c>
      <c r="D12" s="84">
        <v>-60135000</v>
      </c>
      <c r="E12" s="84">
        <v>-59574000</v>
      </c>
      <c r="F12" s="92">
        <v>88000000</v>
      </c>
      <c r="G12" s="84">
        <v>110000000</v>
      </c>
      <c r="H12" s="84">
        <v>160000000</v>
      </c>
      <c r="I12" s="84">
        <v>180000000</v>
      </c>
      <c r="J12" s="85">
        <v>220000000</v>
      </c>
      <c r="K12" s="93" t="s">
        <v>230</v>
      </c>
      <c r="L12" s="74"/>
      <c r="M12" s="74"/>
      <c r="N12" s="58" t="s">
        <v>231</v>
      </c>
      <c r="O12" s="91">
        <f>O8*(1-O11)</f>
        <v>-0.62507586642226132</v>
      </c>
      <c r="P12" s="46"/>
      <c r="Q12" s="46"/>
      <c r="R12" s="46"/>
    </row>
    <row r="13" spans="1:18" ht="22" customHeight="1" x14ac:dyDescent="0.2">
      <c r="A13" s="87"/>
      <c r="B13" s="88"/>
      <c r="C13" s="88">
        <f t="shared" ref="C13:J13" si="1">(C12/B12)-1</f>
        <v>0.16393684521174556</v>
      </c>
      <c r="D13" s="88">
        <f t="shared" si="1"/>
        <v>2.8118027383367141</v>
      </c>
      <c r="E13" s="88">
        <f t="shared" si="1"/>
        <v>-9.3290097281117923E-3</v>
      </c>
      <c r="F13" s="89">
        <f t="shared" si="1"/>
        <v>-2.4771544633564977</v>
      </c>
      <c r="G13" s="88">
        <f t="shared" si="1"/>
        <v>0.25</v>
      </c>
      <c r="H13" s="88">
        <f t="shared" si="1"/>
        <v>0.45454545454545459</v>
      </c>
      <c r="I13" s="88">
        <f t="shared" si="1"/>
        <v>0.125</v>
      </c>
      <c r="J13" s="90">
        <f t="shared" si="1"/>
        <v>0.22222222222222232</v>
      </c>
      <c r="K13" s="90">
        <f>AVERAGE(G13:J13)</f>
        <v>0.26294191919191923</v>
      </c>
      <c r="L13" s="74"/>
      <c r="M13" s="74"/>
      <c r="N13" s="120" t="s">
        <v>232</v>
      </c>
      <c r="O13" s="121"/>
      <c r="P13" s="46"/>
      <c r="Q13" s="46"/>
      <c r="R13" s="46"/>
    </row>
    <row r="14" spans="1:18" ht="22" customHeight="1" x14ac:dyDescent="0.2">
      <c r="A14" s="110" t="s">
        <v>233</v>
      </c>
      <c r="B14" s="94">
        <f>B12/B10</f>
        <v>-0.1915488976823064</v>
      </c>
      <c r="C14" s="94">
        <f t="shared" ref="C14:J14" si="2">C12/C10</f>
        <v>-9.7565802493568179E-2</v>
      </c>
      <c r="D14" s="94">
        <f t="shared" si="2"/>
        <v>-0.2397994991466352</v>
      </c>
      <c r="E14" s="94">
        <f t="shared" si="2"/>
        <v>-0.16123086915925791</v>
      </c>
      <c r="F14" s="95">
        <f t="shared" si="2"/>
        <v>0.17087378640776699</v>
      </c>
      <c r="G14" s="94">
        <f t="shared" si="2"/>
        <v>0.16845329249617153</v>
      </c>
      <c r="H14" s="94">
        <f t="shared" si="2"/>
        <v>0.19583843329253367</v>
      </c>
      <c r="I14" s="94">
        <f t="shared" si="2"/>
        <v>0.20156774916013437</v>
      </c>
      <c r="J14" s="96">
        <f t="shared" si="2"/>
        <v>0.2133850630455868</v>
      </c>
      <c r="K14" s="96"/>
      <c r="L14" s="74"/>
      <c r="M14" s="74"/>
      <c r="N14" s="58" t="s">
        <v>234</v>
      </c>
      <c r="O14" s="91">
        <f>'[1]US Treasury Bonds'!$C$8</f>
        <v>4.2709999999999998E-2</v>
      </c>
      <c r="P14" s="46"/>
      <c r="Q14" s="46"/>
      <c r="R14" s="46"/>
    </row>
    <row r="15" spans="1:18" ht="22" customHeight="1" x14ac:dyDescent="0.2">
      <c r="A15" s="83" t="s">
        <v>176</v>
      </c>
      <c r="B15" s="84">
        <v>-3094000</v>
      </c>
      <c r="C15" s="84">
        <v>13694000</v>
      </c>
      <c r="D15" s="84">
        <v>2964000</v>
      </c>
      <c r="E15" s="84">
        <v>43532000</v>
      </c>
      <c r="F15" s="92">
        <v>107000000</v>
      </c>
      <c r="G15" s="84">
        <v>144000000</v>
      </c>
      <c r="H15" s="84">
        <v>196000000</v>
      </c>
      <c r="I15" s="84">
        <v>205000000</v>
      </c>
      <c r="J15" s="85">
        <v>231000000</v>
      </c>
      <c r="K15" s="93" t="s">
        <v>235</v>
      </c>
      <c r="L15" s="74"/>
      <c r="M15" s="74"/>
      <c r="N15" s="58" t="s">
        <v>236</v>
      </c>
      <c r="O15" s="97">
        <f>1.33</f>
        <v>1.33</v>
      </c>
      <c r="P15" s="46"/>
      <c r="Q15" s="46"/>
      <c r="R15" s="46"/>
    </row>
    <row r="16" spans="1:18" ht="22" customHeight="1" x14ac:dyDescent="0.2">
      <c r="A16" s="98"/>
      <c r="B16" s="88"/>
      <c r="C16" s="88">
        <f t="shared" ref="C16:J16" si="3">(C15/B15)-1</f>
        <v>-5.4259857789269557</v>
      </c>
      <c r="D16" s="88">
        <f t="shared" si="3"/>
        <v>-0.78355484153643928</v>
      </c>
      <c r="E16" s="88">
        <f t="shared" si="3"/>
        <v>13.686909581646423</v>
      </c>
      <c r="F16" s="89">
        <f t="shared" si="3"/>
        <v>1.457961959018653</v>
      </c>
      <c r="G16" s="88">
        <f t="shared" si="3"/>
        <v>0.34579439252336441</v>
      </c>
      <c r="H16" s="88">
        <f t="shared" si="3"/>
        <v>0.36111111111111116</v>
      </c>
      <c r="I16" s="88">
        <f t="shared" si="3"/>
        <v>4.5918367346938771E-2</v>
      </c>
      <c r="J16" s="90">
        <f t="shared" si="3"/>
        <v>0.12682926829268282</v>
      </c>
      <c r="K16" s="90">
        <f>SUM(F16:J16)/5</f>
        <v>0.46752301965855009</v>
      </c>
      <c r="L16" s="74"/>
      <c r="M16" s="74"/>
      <c r="N16" s="58" t="s">
        <v>237</v>
      </c>
      <c r="O16" s="91">
        <v>8.4000000000000005E-2</v>
      </c>
      <c r="P16" s="46"/>
      <c r="Q16" s="46"/>
      <c r="R16" s="46"/>
    </row>
    <row r="17" spans="1:18" ht="22" customHeight="1" x14ac:dyDescent="0.2">
      <c r="A17" s="110" t="s">
        <v>191</v>
      </c>
      <c r="B17" s="94">
        <f>B15/B10</f>
        <v>-4.3725268513284343E-2</v>
      </c>
      <c r="C17" s="94">
        <f t="shared" ref="C17:J17" si="4">C15/C10</f>
        <v>8.468978824460717E-2</v>
      </c>
      <c r="D17" s="94">
        <f t="shared" si="4"/>
        <v>1.1819501379739365E-2</v>
      </c>
      <c r="E17" s="96">
        <f t="shared" si="4"/>
        <v>0.11781485541076334</v>
      </c>
      <c r="F17" s="94">
        <f t="shared" si="4"/>
        <v>0.20776699029126214</v>
      </c>
      <c r="G17" s="94">
        <f t="shared" si="4"/>
        <v>0.22052067381316998</v>
      </c>
      <c r="H17" s="94">
        <f t="shared" si="4"/>
        <v>0.23990208078335373</v>
      </c>
      <c r="I17" s="94">
        <f t="shared" si="4"/>
        <v>0.22956326987681971</v>
      </c>
      <c r="J17" s="96">
        <f t="shared" si="4"/>
        <v>0.22405431619786614</v>
      </c>
      <c r="K17" s="96"/>
      <c r="L17" s="74"/>
      <c r="M17" s="74"/>
      <c r="N17" s="99" t="s">
        <v>232</v>
      </c>
      <c r="O17" s="100">
        <f>(O14)+((O15)*(O16-O14))</f>
        <v>9.762570000000001E-2</v>
      </c>
      <c r="P17" s="46"/>
      <c r="Q17" s="46"/>
      <c r="R17" s="46"/>
    </row>
    <row r="18" spans="1:18" ht="22" customHeight="1" x14ac:dyDescent="0.2">
      <c r="A18" s="101" t="s">
        <v>187</v>
      </c>
      <c r="B18" s="102">
        <v>0.13113815075921909</v>
      </c>
      <c r="C18" s="102">
        <v>0.16806743271424374</v>
      </c>
      <c r="D18" s="102">
        <v>-8.2500329962824193E-2</v>
      </c>
      <c r="E18" s="102">
        <v>-8.5710116322280733E-2</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27345000</v>
      </c>
      <c r="P19" s="46"/>
      <c r="Q19" s="46"/>
      <c r="R19" s="46"/>
    </row>
    <row r="20" spans="1:18" ht="22" customHeight="1" x14ac:dyDescent="0.2">
      <c r="B20" s="107"/>
      <c r="C20" s="107"/>
      <c r="D20" s="107"/>
      <c r="E20" s="107"/>
      <c r="F20" s="74"/>
      <c r="G20" s="74"/>
      <c r="H20" s="74"/>
      <c r="I20" s="74"/>
      <c r="J20" s="74"/>
      <c r="K20" s="74"/>
      <c r="L20" s="74"/>
      <c r="M20" s="74"/>
      <c r="N20" s="58" t="s">
        <v>192</v>
      </c>
      <c r="O20" s="106">
        <f>A3</f>
        <v>8961547806</v>
      </c>
      <c r="P20" s="46"/>
      <c r="Q20" s="46"/>
      <c r="R20" s="46"/>
    </row>
    <row r="21" spans="1:18" ht="22" customHeight="1" x14ac:dyDescent="0.2">
      <c r="A21" s="111" t="str" cm="1">
        <f t="array" ref="A21">_FV(A1,"Industry")</f>
        <v>Software &amp; IT Services</v>
      </c>
      <c r="B21" s="111"/>
      <c r="C21" s="122" cm="1">
        <f t="array" ref="C21">_FV(A1,"Year incorporated",TRUE)</f>
        <v>2011</v>
      </c>
      <c r="D21" s="122"/>
      <c r="E21" s="122"/>
      <c r="F21" s="74"/>
      <c r="G21" s="74"/>
      <c r="H21" s="74"/>
      <c r="I21" s="74"/>
      <c r="J21" s="74"/>
      <c r="K21" s="74"/>
      <c r="M21" s="74"/>
      <c r="N21" s="58" t="s">
        <v>240</v>
      </c>
      <c r="O21" s="106">
        <f>O19+O20</f>
        <v>8988892806</v>
      </c>
      <c r="P21" s="46"/>
      <c r="Q21" s="46"/>
      <c r="R21" s="46"/>
    </row>
    <row r="22" spans="1:18" ht="22" customHeight="1" x14ac:dyDescent="0.2">
      <c r="A22" s="111" t="str" cm="1">
        <f t="array" ref="A22">_FV(A1,"Description")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B22" s="111"/>
      <c r="C22" s="111"/>
      <c r="D22" s="111"/>
      <c r="E22" s="111"/>
      <c r="F22" s="74"/>
      <c r="G22" s="74"/>
      <c r="H22" s="74"/>
      <c r="I22" s="74"/>
      <c r="J22" s="74"/>
      <c r="K22" s="74"/>
      <c r="L22" s="74"/>
      <c r="M22" s="74"/>
      <c r="N22" s="75" t="s">
        <v>241</v>
      </c>
      <c r="O22" s="108">
        <f>(O19/O21)</f>
        <v>3.0420876731055771E-3</v>
      </c>
      <c r="P22" s="46"/>
      <c r="Q22" s="46"/>
      <c r="R22" s="46"/>
    </row>
    <row r="23" spans="1:18" ht="22" customHeight="1" x14ac:dyDescent="0.2">
      <c r="A23" s="111"/>
      <c r="B23" s="111"/>
      <c r="C23" s="111"/>
      <c r="D23" s="111"/>
      <c r="E23" s="111"/>
      <c r="F23" s="74"/>
      <c r="G23" s="74"/>
      <c r="H23" s="74"/>
      <c r="I23" s="74"/>
      <c r="J23" s="74"/>
      <c r="K23" s="74"/>
      <c r="L23" s="74"/>
      <c r="M23" s="74"/>
      <c r="N23" s="99" t="s">
        <v>242</v>
      </c>
      <c r="O23" s="109">
        <f>O20/O21</f>
        <v>0.99695791232689446</v>
      </c>
      <c r="P23" s="46"/>
      <c r="Q23" s="46"/>
      <c r="R23" s="46"/>
    </row>
    <row r="24" spans="1:18" ht="22" customHeight="1" x14ac:dyDescent="0.2">
      <c r="A24" s="111"/>
      <c r="B24" s="111"/>
      <c r="C24" s="111"/>
      <c r="D24" s="111"/>
      <c r="E24" s="111"/>
      <c r="F24" s="74"/>
      <c r="G24" s="74"/>
      <c r="H24" s="74"/>
      <c r="I24" s="74"/>
      <c r="J24" s="74"/>
      <c r="K24" s="74"/>
      <c r="L24" s="74"/>
      <c r="M24" s="74"/>
      <c r="N24" s="112" t="s">
        <v>243</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9.5427178473452764E-2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ht="22" customHeight="1" x14ac:dyDescent="0.2">
      <c r="A31" s="46"/>
      <c r="B31" s="46"/>
      <c r="C31" s="46"/>
      <c r="D31" s="46"/>
      <c r="E31" s="46"/>
      <c r="F31" s="46"/>
      <c r="G31" s="46"/>
      <c r="H31" s="46"/>
      <c r="I31" s="46"/>
      <c r="J31" s="46"/>
      <c r="K31" s="46"/>
      <c r="L31" s="46"/>
      <c r="M31" s="46"/>
      <c r="N31" s="46"/>
      <c r="O31" s="46"/>
      <c r="P31" s="46"/>
      <c r="Q31" s="46"/>
      <c r="R31" s="46"/>
    </row>
    <row r="32" spans="1:18" ht="22" customHeight="1" x14ac:dyDescent="0.2">
      <c r="A32" s="46"/>
      <c r="B32" s="46"/>
      <c r="C32" s="46"/>
      <c r="D32" s="46"/>
      <c r="E32" s="46"/>
      <c r="F32" s="46"/>
      <c r="G32" s="46"/>
      <c r="H32" s="46"/>
      <c r="I32" s="46"/>
      <c r="J32" s="46"/>
      <c r="K32" s="46"/>
      <c r="L32" s="46"/>
      <c r="M32" s="46"/>
      <c r="N32" s="46"/>
      <c r="O32" s="46"/>
      <c r="P32" s="46"/>
      <c r="Q32" s="46"/>
      <c r="R32" s="46"/>
    </row>
    <row r="33" spans="1:18" ht="22" customHeight="1" x14ac:dyDescent="0.2">
      <c r="A33" s="74"/>
      <c r="B33" s="74"/>
      <c r="C33" s="74"/>
      <c r="D33" s="74"/>
      <c r="E33" s="74"/>
      <c r="F33" s="74"/>
      <c r="G33" s="74"/>
      <c r="H33" s="74"/>
      <c r="I33" s="74"/>
      <c r="J33" s="74"/>
      <c r="K33" s="74"/>
      <c r="L33" s="74"/>
      <c r="M33" s="74"/>
      <c r="N33" s="74"/>
      <c r="O33" s="74"/>
      <c r="P33" s="74"/>
      <c r="Q33" s="46"/>
      <c r="R33" s="46"/>
    </row>
    <row r="34" spans="1:18" ht="22" customHeight="1" x14ac:dyDescent="0.2">
      <c r="A34" s="74"/>
      <c r="B34" s="74"/>
      <c r="C34" s="74"/>
      <c r="D34" s="74"/>
      <c r="E34" s="74"/>
      <c r="F34" s="74"/>
      <c r="G34" s="74"/>
      <c r="H34" s="74"/>
      <c r="I34" s="74"/>
      <c r="J34" s="74"/>
      <c r="K34" s="74"/>
      <c r="L34" s="74"/>
      <c r="M34" s="74"/>
      <c r="N34" s="74"/>
      <c r="O34" s="74"/>
      <c r="P34" s="74"/>
      <c r="Q34" s="46"/>
      <c r="R34" s="46"/>
    </row>
    <row r="35" spans="1:18" ht="22" customHeight="1" x14ac:dyDescent="0.2">
      <c r="A35" s="74"/>
      <c r="B35" s="74"/>
      <c r="C35" s="74"/>
      <c r="D35" s="74"/>
      <c r="E35" s="74"/>
      <c r="F35" s="74"/>
      <c r="G35" s="74"/>
      <c r="H35" s="74"/>
      <c r="I35" s="74"/>
      <c r="J35" s="74"/>
      <c r="K35" s="74"/>
      <c r="L35" s="74"/>
      <c r="M35" s="74"/>
      <c r="N35" s="74"/>
      <c r="O35" s="74"/>
      <c r="P35" s="74"/>
      <c r="Q35" s="46"/>
      <c r="R35" s="46"/>
    </row>
    <row r="36" spans="1:18" ht="22" customHeight="1" x14ac:dyDescent="0.2">
      <c r="A36" s="74"/>
      <c r="B36" s="74"/>
      <c r="C36" s="74"/>
      <c r="D36" s="74"/>
      <c r="E36" s="74"/>
      <c r="F36" s="74"/>
      <c r="G36" s="74"/>
      <c r="H36" s="74"/>
      <c r="I36" s="74"/>
      <c r="J36" s="74"/>
      <c r="K36" s="74"/>
      <c r="L36" s="74"/>
      <c r="M36" s="74"/>
      <c r="N36" s="74"/>
      <c r="O36" s="74"/>
      <c r="P36" s="74"/>
      <c r="Q36" s="46"/>
      <c r="R36" s="46"/>
    </row>
    <row r="37" spans="1:18" ht="22" customHeight="1" x14ac:dyDescent="0.2">
      <c r="A37" s="74"/>
      <c r="B37" s="74"/>
      <c r="C37" s="74"/>
      <c r="D37" s="74"/>
      <c r="E37" s="74"/>
      <c r="F37" s="74"/>
      <c r="G37" s="74"/>
      <c r="H37" s="74"/>
      <c r="I37" s="74"/>
      <c r="J37" s="74"/>
      <c r="K37" s="74"/>
      <c r="L37" s="74"/>
      <c r="M37" s="74"/>
      <c r="N37" s="74"/>
      <c r="O37" s="74"/>
      <c r="P37" s="74"/>
      <c r="Q37" s="46"/>
      <c r="R37" s="46"/>
    </row>
    <row r="38" spans="1:18" ht="22" customHeight="1" x14ac:dyDescent="0.2">
      <c r="A38" s="74"/>
      <c r="B38" s="74"/>
      <c r="C38" s="74"/>
      <c r="D38" s="74"/>
      <c r="E38" s="74"/>
      <c r="F38" s="74"/>
      <c r="G38" s="74"/>
      <c r="H38" s="74"/>
      <c r="I38" s="74"/>
      <c r="J38" s="74"/>
      <c r="K38" s="74"/>
      <c r="L38" s="74"/>
      <c r="M38" s="74"/>
      <c r="N38" s="74"/>
      <c r="O38" s="74"/>
      <c r="P38" s="74"/>
      <c r="Q38" s="46"/>
      <c r="R38" s="46"/>
    </row>
    <row r="39" spans="1:18" ht="22" customHeight="1" x14ac:dyDescent="0.2">
      <c r="A39" s="74"/>
      <c r="B39" s="74"/>
      <c r="C39" s="74"/>
      <c r="D39" s="74"/>
      <c r="E39" s="74"/>
      <c r="F39" s="74"/>
      <c r="G39" s="74"/>
      <c r="H39" s="74"/>
      <c r="I39" s="74"/>
      <c r="J39" s="74"/>
      <c r="K39" s="74"/>
      <c r="L39" s="74"/>
      <c r="M39" s="74"/>
      <c r="N39" s="74"/>
      <c r="O39" s="74"/>
      <c r="P39" s="74"/>
      <c r="Q39" s="46"/>
      <c r="R39" s="46"/>
    </row>
    <row r="40" spans="1:18" ht="22" customHeight="1"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DUOL/explorer/revenue_proj" xr:uid="{1848354E-62E2-B848-A1C4-5DC24208EE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2023-12-02T08:17:48Z</dcterms:modified>
</cp:coreProperties>
</file>