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B7D74F5-7B50-AC4A-9D94-B5DB34EA931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13" i="2"/>
  <c r="O10" i="2"/>
  <c r="O9" i="2"/>
  <c r="O7" i="2"/>
  <c r="G7" i="2"/>
  <c r="E7" i="2"/>
  <c r="O6" i="2"/>
  <c r="G6" i="2"/>
  <c r="E6" i="2"/>
  <c r="O5" i="2"/>
  <c r="G5" i="2"/>
  <c r="C4" i="2"/>
  <c r="A4" i="2"/>
  <c r="C3" i="2"/>
  <c r="O8" i="2"/>
  <c r="O12" i="2" s="1"/>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F13" i="2"/>
  <c r="E13" i="2"/>
  <c r="D13" i="2"/>
  <c r="C13" i="2"/>
  <c r="J11" i="2"/>
  <c r="I11" i="2"/>
  <c r="H11" i="2"/>
  <c r="G11" i="2"/>
  <c r="F11" i="2"/>
  <c r="E11" i="2"/>
  <c r="D11" i="2"/>
  <c r="C11" i="2"/>
  <c r="O11" i="2"/>
  <c r="K5" i="2" a="1"/>
  <c r="K5" i="2" s="1"/>
  <c r="A5" i="2" a="1"/>
  <c r="A5" i="2" s="1"/>
  <c r="K4" i="2" a="1"/>
  <c r="K4" i="2" s="1"/>
  <c r="A3" i="2" a="1"/>
  <c r="A3" i="2" s="1"/>
  <c r="K3" i="2" s="1"/>
  <c r="K13" i="2" l="1"/>
  <c r="K16" i="2"/>
  <c r="K11" i="2"/>
  <c r="E5" i="2"/>
  <c r="E4" i="2"/>
  <c r="E3" i="2"/>
  <c r="G4" i="2"/>
  <c r="O19" i="2"/>
  <c r="O20" i="2"/>
  <c r="O21" i="2" s="1"/>
  <c r="O22" i="2" s="1"/>
  <c r="C7" i="2"/>
  <c r="O23" i="2" l="1"/>
  <c r="A6" i="2"/>
  <c r="A7" i="2"/>
  <c r="L35" i="1" l="1"/>
  <c r="L18" i="1"/>
  <c r="L3" i="1"/>
  <c r="P190" i="1"/>
  <c r="Q190" i="1"/>
  <c r="R190" i="1"/>
  <c r="S190" i="1"/>
  <c r="O190" i="1"/>
  <c r="N190" i="1"/>
  <c r="M190" i="1"/>
  <c r="L190" i="1"/>
  <c r="K190" i="1"/>
  <c r="J190" i="1"/>
  <c r="I190" i="1"/>
  <c r="H190" i="1"/>
  <c r="G190" i="1"/>
  <c r="F190" i="1"/>
  <c r="E190" i="1"/>
  <c r="D190" i="1"/>
  <c r="C190" i="1"/>
  <c r="B190" i="1"/>
  <c r="L189" i="1"/>
  <c r="M189" i="1"/>
  <c r="N189" i="1"/>
  <c r="O189" i="1"/>
  <c r="Q189" i="1"/>
  <c r="R189" i="1"/>
  <c r="S189" i="1"/>
  <c r="K189" i="1"/>
  <c r="J189" i="1"/>
  <c r="I189" i="1"/>
  <c r="H189" i="1"/>
  <c r="G189" i="1"/>
  <c r="F189" i="1"/>
  <c r="E189" i="1"/>
  <c r="D189" i="1"/>
  <c r="C189" i="1"/>
  <c r="P129" i="1"/>
  <c r="Q129" i="1"/>
  <c r="R129" i="1"/>
  <c r="S129" i="1"/>
  <c r="P143" i="1"/>
  <c r="Q143" i="1"/>
  <c r="R143" i="1"/>
  <c r="S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Q3" i="1"/>
  <c r="R3" i="1"/>
  <c r="S3" i="1"/>
  <c r="P12" i="1"/>
  <c r="Q12" i="1"/>
  <c r="R12" i="1"/>
  <c r="S12" i="1"/>
  <c r="P14" i="1"/>
  <c r="Q14" i="1"/>
  <c r="R14" i="1"/>
  <c r="S14" i="1"/>
  <c r="Q18" i="1"/>
  <c r="R18" i="1"/>
  <c r="S18" i="1"/>
  <c r="P36" i="1"/>
  <c r="Q36" i="1"/>
  <c r="R36" i="1"/>
  <c r="S36" i="1"/>
  <c r="Q35" i="1"/>
  <c r="R35" i="1"/>
  <c r="S35" i="1"/>
  <c r="O36" i="1"/>
  <c r="N36" i="1"/>
  <c r="M36" i="1"/>
  <c r="L36" i="1"/>
  <c r="K36" i="1"/>
  <c r="J36" i="1"/>
  <c r="I36" i="1"/>
  <c r="H36" i="1"/>
  <c r="G36" i="1"/>
  <c r="F36" i="1"/>
  <c r="E36" i="1"/>
  <c r="D36" i="1"/>
  <c r="C36" i="1"/>
  <c r="B36" i="1"/>
  <c r="O35" i="1"/>
  <c r="N35" i="1"/>
  <c r="M35" i="1"/>
  <c r="K35" i="1"/>
  <c r="J35" i="1"/>
  <c r="I35" i="1"/>
  <c r="H35" i="1"/>
  <c r="G35" i="1"/>
  <c r="F35" i="1"/>
  <c r="E35" i="1"/>
  <c r="D35" i="1"/>
  <c r="C35" i="1"/>
  <c r="O18" i="1"/>
  <c r="N18" i="1"/>
  <c r="M18" i="1"/>
  <c r="K18" i="1"/>
  <c r="J18" i="1"/>
  <c r="I18" i="1"/>
  <c r="H18" i="1"/>
  <c r="G18" i="1"/>
  <c r="F18" i="1"/>
  <c r="E18" i="1"/>
  <c r="D18" i="1"/>
  <c r="C18" i="1"/>
  <c r="O14" i="1"/>
  <c r="N14" i="1"/>
  <c r="M14" i="1"/>
  <c r="L14" i="1"/>
  <c r="K14" i="1"/>
  <c r="O12" i="1"/>
  <c r="N12" i="1"/>
  <c r="M12" i="1"/>
  <c r="L12" i="1"/>
  <c r="K12" i="1"/>
  <c r="J12" i="1"/>
  <c r="I12" i="1"/>
  <c r="H12" i="1"/>
  <c r="G12" i="1"/>
  <c r="F12" i="1"/>
  <c r="E12" i="1"/>
  <c r="D12" i="1"/>
  <c r="C12" i="1"/>
  <c r="B12" i="1"/>
  <c r="O3" i="1"/>
  <c r="N3" i="1"/>
  <c r="M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<sst xmlns="http://schemas.openxmlformats.org/spreadsheetml/2006/main" count="1312" uniqueCount="256">
  <si>
    <t>2010 Y</t>
  </si>
  <si>
    <t>2011 Y</t>
  </si>
  <si>
    <t>2012 Y</t>
  </si>
  <si>
    <t>2013 Y</t>
  </si>
  <si>
    <t>2014 Y</t>
  </si>
  <si>
    <t>2015 Y</t>
  </si>
  <si>
    <t>2016 Y</t>
  </si>
  <si>
    <t>2017 Y</t>
  </si>
  <si>
    <t>2018 Y</t>
  </si>
  <si>
    <t>2019 Y</t>
  </si>
  <si>
    <t>2020 Y</t>
  </si>
  <si>
    <t>2021 Y</t>
  </si>
  <si>
    <t>2022 Y</t>
  </si>
  <si>
    <t>TTM</t>
  </si>
  <si>
    <t>2022 Q4</t>
  </si>
  <si>
    <t>2007 Q1</t>
  </si>
  <si>
    <t>2007 Q2</t>
  </si>
  <si>
    <t>2007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</si>
  <si>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</si>
  <si>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</si>
  <si>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</si>
  <si>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</si>
  <si>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</si>
  <si>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</si>
  <si>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</si>
  <si>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</si>
  <si>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</si>
  <si>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</si>
  <si>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</si>
  <si>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</si>
  <si>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</si>
  <si>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</si>
  <si>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</si>
  <si>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</si>
  <si>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</si>
  <si>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</si>
  <si>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</si>
  <si>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</si>
  <si>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</si>
  <si>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</si>
  <si>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</si>
  <si>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</si>
  <si>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</si>
  <si>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</si>
  <si>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</si>
  <si>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</si>
  <si>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</si>
  <si>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</si>
  <si>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</si>
  <si>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</si>
  <si>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</si>
  <si>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</si>
  <si>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</si>
  <si>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</si>
  <si>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</si>
  <si>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</si>
  <si>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</si>
  <si>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</si>
  <si>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</si>
  <si>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</si>
  <si>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</si>
  <si>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</si>
  <si>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</si>
  <si>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</si>
  <si>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</si>
  <si>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</si>
  <si>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</si>
  <si>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</si>
  <si>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</si>
  <si>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</si>
  <si>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</si>
  <si>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</si>
  <si>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</si>
  <si>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</si>
  <si>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</si>
  <si>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</si>
  <si>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</si>
  <si>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</si>
  <si>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</si>
  <si>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</si>
  <si>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</si>
  <si>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</si>
  <si>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</si>
  <si>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</si>
  <si>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</si>
  <si>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</si>
  <si>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</si>
  <si>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</si>
  <si>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</si>
  <si>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</si>
  <si>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</si>
  <si>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</si>
  <si>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</si>
  <si>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</si>
  <si>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</si>
  <si>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</si>
  <si>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</si>
  <si>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</si>
  <si>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</si>
  <si>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</si>
  <si>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</si>
  <si>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</si>
  <si>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</si>
  <si>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</si>
  <si>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</si>
  <si>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</si>
  <si>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</si>
  <si>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</si>
  <si>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</si>
  <si>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</si>
  <si>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</si>
  <si>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</si>
  <si>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</si>
  <si>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</si>
  <si>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</si>
  <si>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</si>
  <si>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</si>
  <si>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</si>
  <si>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</si>
  <si>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</si>
  <si>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</si>
  <si>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</si>
  <si>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</si>
  <si>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</si>
  <si>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</si>
  <si>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</si>
  <si>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</si>
  <si>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</si>
  <si>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</si>
  <si>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</si>
  <si>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</si>
  <si>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</si>
  <si>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</si>
  <si>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</si>
  <si>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</si>
  <si>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</si>
  <si>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</si>
  <si>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</si>
  <si>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</si>
  <si>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</si>
  <si>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</si>
  <si>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</si>
  <si>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</si>
  <si>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</si>
  <si>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</si>
  <si>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</si>
  <si>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</si>
  <si>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</si>
  <si>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</si>
  <si>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</si>
  <si>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</si>
  <si>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</si>
  <si>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</si>
  <si>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</si>
  <si>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</si>
  <si>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</si>
  <si>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</si>
  <si>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</si>
  <si>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</si>
  <si>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</si>
  <si>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</si>
  <si>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</si>
  <si>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</si>
  <si>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</si>
  <si>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</si>
  <si>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</si>
  <si>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</si>
  <si>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</si>
  <si>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</si>
  <si>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</si>
  <si>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</si>
  <si>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</si>
  <si>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</si>
  <si>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</si>
  <si>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</si>
  <si>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</si>
  <si>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</si>
  <si>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</si>
  <si>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</si>
  <si>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</si>
  <si>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</si>
  <si>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</si>
  <si>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</si>
  <si>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</si>
  <si>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</si>
  <si>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</si>
  <si>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</si>
  <si>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</si>
  <si>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</si>
  <si>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</si>
  <si>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</si>
  <si>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</si>
  <si>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</si>
  <si>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</si>
  <si>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</si>
  <si>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</si>
  <si>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</si>
  <si>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</si>
  <si>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</si>
  <si>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</si>
  <si>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</si>
  <si>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</si>
  <si>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</si>
  <si>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2023 Q3</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</si>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</sst>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1130.47</v>
    <v>575.39</v>
    <v>1.2677</v>
    <v>40.94</v>
    <v>3.7643000000000003E-2</v>
    <v>52.21</v>
    <v>4.6296999999999998E-2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1130.47</v>
    <v>Software &amp; IT Services</v>
    <v>Stock</v>
    <v>45262.036313066405</v>
    <v>0</v>
    <v>1083.72</v>
    <v>27869720000</v>
    <v>FAIR ISAAC CORPORATION</v>
    <v>FAIR ISAAC CORPORATION</v>
    <v>1084.97</v>
    <v>64.248500000000007</v>
    <v>1087.5999999999999</v>
    <v>1128.54</v>
    <v>1179.92</v>
    <v>24713560</v>
    <v>FICO</v>
    <v>FAIR ISAAC CORPORATION (XNYS:FICO)</v>
    <v>299849</v>
    <v>187728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IC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05" workbookViewId="0">
      <pane xSplit="1" topLeftCell="I1" activePane="topRight" state="frozen"/>
      <selection pane="topRight" activeCell="J202" sqref="J202"/>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201</v>
      </c>
      <c r="R1" s="1" t="s">
        <v>202</v>
      </c>
      <c r="S1" s="1" t="s">
        <v>203</v>
      </c>
    </row>
    <row r="2" spans="1:19" ht="16" x14ac:dyDescent="0.2">
      <c r="A2" s="28" t="s">
        <v>18</v>
      </c>
      <c r="B2" s="26">
        <v>605643000</v>
      </c>
      <c r="C2" s="26">
        <v>619683000</v>
      </c>
      <c r="D2" s="26">
        <v>676423000</v>
      </c>
      <c r="E2" s="26">
        <v>743444000</v>
      </c>
      <c r="F2" s="26">
        <v>788985000</v>
      </c>
      <c r="G2" s="26">
        <v>838781000</v>
      </c>
      <c r="H2" s="26">
        <v>881356000</v>
      </c>
      <c r="I2" s="26">
        <v>932169000</v>
      </c>
      <c r="J2" s="26">
        <v>1032475000</v>
      </c>
      <c r="K2" s="26">
        <v>1160083000</v>
      </c>
      <c r="L2" s="26">
        <v>1294562000</v>
      </c>
      <c r="M2" s="26">
        <v>1316536000</v>
      </c>
      <c r="N2" s="26">
        <v>1377270000</v>
      </c>
      <c r="O2" s="27">
        <v>1472572000</v>
      </c>
      <c r="P2" s="26">
        <v>348748000</v>
      </c>
      <c r="Q2" s="26">
        <v>344870000</v>
      </c>
      <c r="R2" s="26">
        <v>380266000</v>
      </c>
      <c r="S2" s="26">
        <v>398688000</v>
      </c>
    </row>
    <row r="3" spans="1:19" ht="16" x14ac:dyDescent="0.2">
      <c r="A3" s="9" t="s">
        <v>191</v>
      </c>
      <c r="B3" s="10"/>
      <c r="C3" s="11">
        <f t="shared" ref="C3:L3" si="0">(C2/B2)-1</f>
        <v>2.3181973538866973E-2</v>
      </c>
      <c r="D3" s="11">
        <f t="shared" si="0"/>
        <v>9.156294427957512E-2</v>
      </c>
      <c r="E3" s="11">
        <f t="shared" si="0"/>
        <v>9.9081491906691577E-2</v>
      </c>
      <c r="F3" s="11">
        <f t="shared" si="0"/>
        <v>6.125679943613771E-2</v>
      </c>
      <c r="G3" s="11">
        <f t="shared" si="0"/>
        <v>6.3114000899890277E-2</v>
      </c>
      <c r="H3" s="11">
        <f t="shared" si="0"/>
        <v>5.0758183602156004E-2</v>
      </c>
      <c r="I3" s="11">
        <f t="shared" si="0"/>
        <v>5.7653207103599557E-2</v>
      </c>
      <c r="J3" s="11">
        <f t="shared" si="0"/>
        <v>0.10760495146266402</v>
      </c>
      <c r="K3" s="11">
        <f t="shared" si="0"/>
        <v>0.12359427589045735</v>
      </c>
      <c r="L3" s="11">
        <f t="shared" si="0"/>
        <v>0.11592187800355669</v>
      </c>
      <c r="M3" s="11">
        <f t="shared" ref="M3:O3" si="1">(M2/L2)-1</f>
        <v>1.6974080808798586E-2</v>
      </c>
      <c r="N3" s="11">
        <f t="shared" si="1"/>
        <v>4.6131666737559751E-2</v>
      </c>
      <c r="O3" s="11">
        <f t="shared" si="1"/>
        <v>6.919630863955506E-2</v>
      </c>
      <c r="P3" s="11"/>
      <c r="Q3" s="11">
        <f t="shared" ref="Q3" si="2">(Q2/P2)-1</f>
        <v>-1.1119777030979439E-2</v>
      </c>
      <c r="R3" s="11">
        <f t="shared" ref="R3" si="3">(R2/Q2)-1</f>
        <v>0.10263577579957661</v>
      </c>
      <c r="S3" s="11">
        <f t="shared" ref="S3" si="4">(S2/R2)-1</f>
        <v>4.8445035843330819E-2</v>
      </c>
    </row>
    <row r="4" spans="1:19" ht="16" x14ac:dyDescent="0.2">
      <c r="A4" s="2" t="s">
        <v>19</v>
      </c>
      <c r="B4" s="3">
        <v>605643000</v>
      </c>
      <c r="C4" s="3">
        <v>619683000</v>
      </c>
      <c r="D4" s="3">
        <v>676423000</v>
      </c>
      <c r="E4" s="3">
        <v>743444000</v>
      </c>
      <c r="F4" s="3">
        <v>788985000</v>
      </c>
      <c r="G4" s="3">
        <v>838781000</v>
      </c>
      <c r="H4" s="3">
        <v>881356000</v>
      </c>
      <c r="I4" s="3">
        <v>932169000</v>
      </c>
      <c r="J4" s="3">
        <v>1032475000</v>
      </c>
      <c r="K4" s="3">
        <v>1160083000</v>
      </c>
      <c r="L4" s="3">
        <v>1294562000</v>
      </c>
      <c r="M4" s="3">
        <v>1316536000</v>
      </c>
      <c r="N4" s="3">
        <v>1377270000</v>
      </c>
      <c r="O4" s="4">
        <v>1472572000</v>
      </c>
      <c r="P4" s="3">
        <v>348748000</v>
      </c>
      <c r="Q4" s="3">
        <v>344870000</v>
      </c>
      <c r="R4" s="3">
        <v>380266000</v>
      </c>
      <c r="S4" s="3">
        <v>398688000</v>
      </c>
    </row>
    <row r="5" spans="1:19" ht="16" x14ac:dyDescent="0.2">
      <c r="A5" s="2" t="s">
        <v>20</v>
      </c>
      <c r="B5" s="3">
        <v>180932000</v>
      </c>
      <c r="C5" s="3">
        <v>186470000</v>
      </c>
      <c r="D5" s="3">
        <v>197947000</v>
      </c>
      <c r="E5" s="3">
        <v>229468000</v>
      </c>
      <c r="F5" s="3">
        <v>249281000</v>
      </c>
      <c r="G5" s="3">
        <v>270535000</v>
      </c>
      <c r="H5" s="3">
        <v>265173000</v>
      </c>
      <c r="I5" s="3">
        <v>287123000</v>
      </c>
      <c r="J5" s="3">
        <v>310699000</v>
      </c>
      <c r="K5" s="3">
        <v>336845000</v>
      </c>
      <c r="L5" s="3">
        <v>361142000</v>
      </c>
      <c r="M5" s="3">
        <v>332462000</v>
      </c>
      <c r="N5" s="3">
        <v>302174000</v>
      </c>
      <c r="O5" s="4">
        <v>310707000</v>
      </c>
      <c r="P5" s="3">
        <v>82486000</v>
      </c>
      <c r="Q5" s="3">
        <v>76569000</v>
      </c>
      <c r="R5" s="3">
        <v>79806000</v>
      </c>
      <c r="S5" s="3">
        <v>71846000</v>
      </c>
    </row>
    <row r="6" spans="1:19" ht="16" x14ac:dyDescent="0.2">
      <c r="A6" s="2" t="s">
        <v>21</v>
      </c>
      <c r="B6" s="3">
        <v>180932000</v>
      </c>
      <c r="C6" s="3">
        <v>186470000</v>
      </c>
      <c r="D6" s="3">
        <v>197947000</v>
      </c>
      <c r="E6" s="3">
        <v>229468000</v>
      </c>
      <c r="F6" s="3">
        <v>249281000</v>
      </c>
      <c r="G6" s="3">
        <v>270535000</v>
      </c>
      <c r="H6" s="3">
        <v>265173000</v>
      </c>
      <c r="I6" s="3">
        <v>287123000</v>
      </c>
      <c r="J6" s="3">
        <v>310699000</v>
      </c>
      <c r="K6" s="3">
        <v>336845000</v>
      </c>
      <c r="L6" s="3">
        <v>361142000</v>
      </c>
      <c r="M6" s="3">
        <v>332462000</v>
      </c>
      <c r="N6" s="3">
        <v>302174000</v>
      </c>
      <c r="O6" s="4">
        <v>310707000</v>
      </c>
      <c r="P6" s="3">
        <v>82486000</v>
      </c>
      <c r="Q6" s="3">
        <v>76569000</v>
      </c>
      <c r="R6" s="3">
        <v>79806000</v>
      </c>
      <c r="S6" s="3">
        <v>71846000</v>
      </c>
    </row>
    <row r="7" spans="1:19" ht="16" x14ac:dyDescent="0.2">
      <c r="A7" s="28" t="s">
        <v>22</v>
      </c>
      <c r="B7" s="26">
        <v>424711000</v>
      </c>
      <c r="C7" s="26">
        <v>433213000</v>
      </c>
      <c r="D7" s="26">
        <v>478476000</v>
      </c>
      <c r="E7" s="26">
        <v>513976000</v>
      </c>
      <c r="F7" s="26">
        <v>539704000</v>
      </c>
      <c r="G7" s="26">
        <v>568246000</v>
      </c>
      <c r="H7" s="26">
        <v>616183000</v>
      </c>
      <c r="I7" s="26">
        <v>645046000</v>
      </c>
      <c r="J7" s="26">
        <v>721776000</v>
      </c>
      <c r="K7" s="26">
        <v>823238000</v>
      </c>
      <c r="L7" s="26">
        <v>933420000</v>
      </c>
      <c r="M7" s="26">
        <v>984074000</v>
      </c>
      <c r="N7" s="26">
        <v>1075096000</v>
      </c>
      <c r="O7" s="27">
        <v>1161865000</v>
      </c>
      <c r="P7" s="26">
        <v>266262000</v>
      </c>
      <c r="Q7" s="26">
        <v>268301000</v>
      </c>
      <c r="R7" s="26">
        <v>300460000</v>
      </c>
      <c r="S7" s="26">
        <v>326842000</v>
      </c>
    </row>
    <row r="8" spans="1:19" ht="16" x14ac:dyDescent="0.2">
      <c r="A8" s="29" t="s">
        <v>58</v>
      </c>
      <c r="B8" s="32">
        <v>70.13</v>
      </c>
      <c r="C8" s="32">
        <v>69.91</v>
      </c>
      <c r="D8" s="32">
        <v>70.739999999999995</v>
      </c>
      <c r="E8" s="32">
        <v>69.13</v>
      </c>
      <c r="F8" s="32">
        <v>68.400000000000006</v>
      </c>
      <c r="G8" s="32">
        <v>67.75</v>
      </c>
      <c r="H8" s="32">
        <v>69.91</v>
      </c>
      <c r="I8" s="32">
        <v>69.2</v>
      </c>
      <c r="J8" s="32">
        <v>69.91</v>
      </c>
      <c r="K8" s="32">
        <v>70.959999999999994</v>
      </c>
      <c r="L8" s="32">
        <v>72.099999999999994</v>
      </c>
      <c r="M8" s="32">
        <v>74.75</v>
      </c>
      <c r="N8" s="32">
        <v>78.06</v>
      </c>
      <c r="O8" s="33">
        <v>78.900000000000006</v>
      </c>
      <c r="P8" s="32">
        <v>76.349999999999994</v>
      </c>
      <c r="Q8" s="32">
        <v>77.8</v>
      </c>
      <c r="R8" s="32">
        <v>79.010000000000005</v>
      </c>
      <c r="S8" s="32">
        <v>81.98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309745000</v>
      </c>
      <c r="C10" s="3">
        <v>293485000</v>
      </c>
      <c r="D10" s="3">
        <v>304993000</v>
      </c>
      <c r="E10" s="3">
        <v>348897000</v>
      </c>
      <c r="F10" s="3">
        <v>373555000</v>
      </c>
      <c r="G10" s="3">
        <v>412499000</v>
      </c>
      <c r="H10" s="3">
        <v>446591000</v>
      </c>
      <c r="I10" s="3">
        <v>463375000</v>
      </c>
      <c r="J10" s="3">
        <v>515339000</v>
      </c>
      <c r="K10" s="3">
        <v>569690000</v>
      </c>
      <c r="L10" s="3">
        <v>592422000</v>
      </c>
      <c r="M10" s="3">
        <v>570767000</v>
      </c>
      <c r="N10" s="3">
        <v>532682000</v>
      </c>
      <c r="O10" s="4">
        <v>552519000</v>
      </c>
      <c r="P10" s="3">
        <v>132106000</v>
      </c>
      <c r="Q10" s="3">
        <v>129903000</v>
      </c>
      <c r="R10" s="3">
        <v>140699000</v>
      </c>
      <c r="S10" s="3">
        <v>149811000</v>
      </c>
    </row>
    <row r="11" spans="1:19" ht="16" x14ac:dyDescent="0.2">
      <c r="A11" s="29" t="s">
        <v>26</v>
      </c>
      <c r="B11" s="30">
        <v>225263000</v>
      </c>
      <c r="C11" s="30">
        <v>223615000</v>
      </c>
      <c r="D11" s="30">
        <v>238522000</v>
      </c>
      <c r="E11" s="30">
        <v>268395000</v>
      </c>
      <c r="F11" s="30">
        <v>278203000</v>
      </c>
      <c r="G11" s="30">
        <v>300002000</v>
      </c>
      <c r="H11" s="30">
        <v>328940000</v>
      </c>
      <c r="I11" s="30">
        <v>339796000</v>
      </c>
      <c r="J11" s="30">
        <v>380362000</v>
      </c>
      <c r="K11" s="30">
        <v>414086000</v>
      </c>
      <c r="L11" s="30">
        <v>420930000</v>
      </c>
      <c r="M11" s="30">
        <v>396281000</v>
      </c>
      <c r="N11" s="30">
        <v>383863000</v>
      </c>
      <c r="O11" s="31">
        <v>397387000</v>
      </c>
      <c r="P11" s="30">
        <v>96153000</v>
      </c>
      <c r="Q11" s="30">
        <v>92995000</v>
      </c>
      <c r="R11" s="30">
        <v>100158000</v>
      </c>
      <c r="S11" s="30">
        <v>108081000</v>
      </c>
    </row>
    <row r="12" spans="1:19" ht="16" x14ac:dyDescent="0.2">
      <c r="A12" s="12" t="s">
        <v>192</v>
      </c>
      <c r="B12" s="11">
        <f t="shared" ref="B12:S12" si="5">B11/B2</f>
        <v>0.37194023541921561</v>
      </c>
      <c r="C12" s="11">
        <f t="shared" si="5"/>
        <v>0.36085385592310909</v>
      </c>
      <c r="D12" s="11">
        <f t="shared" si="5"/>
        <v>0.3526225453599301</v>
      </c>
      <c r="E12" s="11">
        <f t="shared" si="5"/>
        <v>0.36101575908878142</v>
      </c>
      <c r="F12" s="11">
        <f t="shared" si="5"/>
        <v>0.3526087314714475</v>
      </c>
      <c r="G12" s="11">
        <f t="shared" si="5"/>
        <v>0.3576642770878215</v>
      </c>
      <c r="H12" s="11">
        <f t="shared" si="5"/>
        <v>0.37322035590612646</v>
      </c>
      <c r="I12" s="11">
        <f t="shared" si="5"/>
        <v>0.36452188390731721</v>
      </c>
      <c r="J12" s="11">
        <f t="shared" si="5"/>
        <v>0.36839826630184752</v>
      </c>
      <c r="K12" s="11">
        <f t="shared" si="5"/>
        <v>0.35694514961429485</v>
      </c>
      <c r="L12" s="11">
        <f t="shared" si="5"/>
        <v>0.32515244538307164</v>
      </c>
      <c r="M12" s="11">
        <f t="shared" si="5"/>
        <v>0.30100278306100253</v>
      </c>
      <c r="N12" s="11">
        <f t="shared" si="5"/>
        <v>0.27871296114777783</v>
      </c>
      <c r="O12" s="11">
        <f t="shared" si="5"/>
        <v>0.26985913082687979</v>
      </c>
      <c r="P12" s="11">
        <f t="shared" si="5"/>
        <v>0.27570910800922155</v>
      </c>
      <c r="Q12" s="11">
        <f t="shared" si="5"/>
        <v>0.26965233276307016</v>
      </c>
      <c r="R12" s="11">
        <f t="shared" si="5"/>
        <v>0.2633893116923417</v>
      </c>
      <c r="S12" s="11">
        <f t="shared" si="5"/>
        <v>0.27109168071273776</v>
      </c>
    </row>
    <row r="13" spans="1:19" ht="16" x14ac:dyDescent="0.2">
      <c r="A13" s="29" t="s">
        <v>27</v>
      </c>
      <c r="B13" s="30">
        <v>73581000</v>
      </c>
      <c r="C13" s="30">
        <v>62129000</v>
      </c>
      <c r="D13" s="30">
        <v>59527000</v>
      </c>
      <c r="E13" s="30">
        <v>66967000</v>
      </c>
      <c r="F13" s="30">
        <v>83435000</v>
      </c>
      <c r="G13" s="30">
        <v>98824000</v>
      </c>
      <c r="H13" s="30">
        <v>103669000</v>
      </c>
      <c r="I13" s="30">
        <v>110870000</v>
      </c>
      <c r="J13" s="30">
        <v>128383000</v>
      </c>
      <c r="K13" s="30">
        <v>149478000</v>
      </c>
      <c r="L13" s="30">
        <v>166499000</v>
      </c>
      <c r="M13" s="30">
        <v>171231000</v>
      </c>
      <c r="N13" s="30">
        <v>146758000</v>
      </c>
      <c r="O13" s="31">
        <v>153865000</v>
      </c>
      <c r="P13" s="30">
        <v>35511000</v>
      </c>
      <c r="Q13" s="30">
        <v>36633000</v>
      </c>
      <c r="R13" s="30">
        <v>40266000</v>
      </c>
      <c r="S13" s="30">
        <v>41455000</v>
      </c>
    </row>
    <row r="14" spans="1:19" ht="16" x14ac:dyDescent="0.2">
      <c r="A14" s="13" t="s">
        <v>193</v>
      </c>
      <c r="B14" s="14">
        <v>0</v>
      </c>
      <c r="C14" s="14">
        <v>0</v>
      </c>
      <c r="D14" s="14">
        <v>0</v>
      </c>
      <c r="E14" s="14">
        <v>0</v>
      </c>
      <c r="F14" s="14">
        <v>0</v>
      </c>
      <c r="G14" s="14">
        <v>0</v>
      </c>
      <c r="H14" s="14">
        <v>0</v>
      </c>
      <c r="I14" s="14">
        <v>0</v>
      </c>
      <c r="J14" s="14">
        <v>0</v>
      </c>
      <c r="K14" s="14">
        <f t="shared" ref="K14:S14" si="6">K13/K2</f>
        <v>0.12885112530741336</v>
      </c>
      <c r="L14" s="14">
        <f t="shared" si="6"/>
        <v>0.12861415675726617</v>
      </c>
      <c r="M14" s="14">
        <f t="shared" si="6"/>
        <v>0.13006176815521944</v>
      </c>
      <c r="N14" s="14">
        <f t="shared" si="6"/>
        <v>0.10655717470067598</v>
      </c>
      <c r="O14" s="14">
        <f t="shared" si="6"/>
        <v>0.10448725087805553</v>
      </c>
      <c r="P14" s="14">
        <f t="shared" si="6"/>
        <v>0.10182423985227156</v>
      </c>
      <c r="Q14" s="14">
        <f t="shared" si="6"/>
        <v>0.10622263461594224</v>
      </c>
      <c r="R14" s="14">
        <f t="shared" si="6"/>
        <v>0.10588903556983796</v>
      </c>
      <c r="S14" s="14">
        <f t="shared" si="6"/>
        <v>0.10397854964282847</v>
      </c>
    </row>
    <row r="15" spans="1:19" ht="16" x14ac:dyDescent="0.2">
      <c r="A15" s="2" t="s">
        <v>28</v>
      </c>
      <c r="B15" s="3">
        <v>10901000</v>
      </c>
      <c r="C15" s="3">
        <v>7741000</v>
      </c>
      <c r="D15" s="3">
        <v>6944000</v>
      </c>
      <c r="E15" s="3">
        <v>13535000</v>
      </c>
      <c r="F15" s="3">
        <v>11917000</v>
      </c>
      <c r="G15" s="3">
        <v>13673000</v>
      </c>
      <c r="H15" s="3">
        <v>13982000</v>
      </c>
      <c r="I15" s="3">
        <v>12709000</v>
      </c>
      <c r="J15" s="3">
        <v>6594000</v>
      </c>
      <c r="K15" s="3">
        <v>6126000</v>
      </c>
      <c r="L15" s="3">
        <v>4993000</v>
      </c>
      <c r="M15" s="3">
        <v>3255000</v>
      </c>
      <c r="N15" s="3">
        <v>2061000</v>
      </c>
      <c r="O15" s="4">
        <v>1267000</v>
      </c>
      <c r="P15" s="3">
        <v>442000</v>
      </c>
      <c r="Q15" s="3">
        <v>275000</v>
      </c>
      <c r="R15" s="3">
        <v>275000</v>
      </c>
      <c r="S15" s="3">
        <v>275000</v>
      </c>
    </row>
    <row r="16" spans="1:19" ht="16" x14ac:dyDescent="0.2">
      <c r="A16" s="34" t="s">
        <v>29</v>
      </c>
      <c r="B16" s="30">
        <v>114966000</v>
      </c>
      <c r="C16" s="30">
        <v>139728000</v>
      </c>
      <c r="D16" s="30">
        <v>173483000</v>
      </c>
      <c r="E16" s="30">
        <v>165079000</v>
      </c>
      <c r="F16" s="30">
        <v>166149000</v>
      </c>
      <c r="G16" s="30">
        <v>155747000</v>
      </c>
      <c r="H16" s="30">
        <v>169592000</v>
      </c>
      <c r="I16" s="30">
        <v>181671000</v>
      </c>
      <c r="J16" s="30">
        <v>206437000</v>
      </c>
      <c r="K16" s="30">
        <v>253548000</v>
      </c>
      <c r="L16" s="30">
        <v>340998000</v>
      </c>
      <c r="M16" s="30">
        <v>413307000</v>
      </c>
      <c r="N16" s="30">
        <v>542414000</v>
      </c>
      <c r="O16" s="31">
        <v>609346000</v>
      </c>
      <c r="P16" s="30">
        <v>134156000</v>
      </c>
      <c r="Q16" s="30">
        <v>138398000</v>
      </c>
      <c r="R16" s="30">
        <v>159761000</v>
      </c>
      <c r="S16" s="30">
        <v>177031000</v>
      </c>
    </row>
    <row r="17" spans="1:19" ht="16" x14ac:dyDescent="0.2">
      <c r="A17" s="29" t="s">
        <v>59</v>
      </c>
      <c r="B17" s="32">
        <v>18.98</v>
      </c>
      <c r="C17" s="32">
        <v>22.55</v>
      </c>
      <c r="D17" s="32">
        <v>25.65</v>
      </c>
      <c r="E17" s="32">
        <v>22.2</v>
      </c>
      <c r="F17" s="32">
        <v>21.06</v>
      </c>
      <c r="G17" s="32">
        <v>18.57</v>
      </c>
      <c r="H17" s="32">
        <v>19.239999999999998</v>
      </c>
      <c r="I17" s="32">
        <v>19.489999999999998</v>
      </c>
      <c r="J17" s="32">
        <v>19.989999999999998</v>
      </c>
      <c r="K17" s="32">
        <v>21.86</v>
      </c>
      <c r="L17" s="32">
        <v>26.34</v>
      </c>
      <c r="M17" s="32">
        <v>31.39</v>
      </c>
      <c r="N17" s="32">
        <v>39.380000000000003</v>
      </c>
      <c r="O17" s="33">
        <v>41.38</v>
      </c>
      <c r="P17" s="32">
        <v>38.47</v>
      </c>
      <c r="Q17" s="32">
        <v>40.130000000000003</v>
      </c>
      <c r="R17" s="32">
        <v>42.01</v>
      </c>
      <c r="S17" s="32">
        <v>44.4</v>
      </c>
    </row>
    <row r="18" spans="1:19" ht="16" x14ac:dyDescent="0.2">
      <c r="A18" s="15" t="s">
        <v>194</v>
      </c>
      <c r="B18" s="10"/>
      <c r="C18" s="11">
        <f>(C16/B16)-1</f>
        <v>0.21538541829758362</v>
      </c>
      <c r="D18" s="11">
        <f>(D16/C16)-1</f>
        <v>0.24157649146914006</v>
      </c>
      <c r="E18" s="11">
        <f>(E16/D16)-1</f>
        <v>-4.8442786901310209E-2</v>
      </c>
      <c r="F18" s="11">
        <f t="shared" ref="F18:L18" si="7">(F16/E16)-1</f>
        <v>6.4817451038594598E-3</v>
      </c>
      <c r="G18" s="11">
        <f t="shared" si="7"/>
        <v>-6.2606455651252779E-2</v>
      </c>
      <c r="H18" s="11">
        <f t="shared" si="7"/>
        <v>8.8894168105966731E-2</v>
      </c>
      <c r="I18" s="11">
        <f t="shared" si="7"/>
        <v>7.1223878484834247E-2</v>
      </c>
      <c r="J18" s="11">
        <f t="shared" si="7"/>
        <v>0.13632335375486448</v>
      </c>
      <c r="K18" s="11">
        <f t="shared" si="7"/>
        <v>0.22821005924325588</v>
      </c>
      <c r="L18" s="11">
        <f t="shared" si="7"/>
        <v>0.34490510672535368</v>
      </c>
      <c r="M18" s="11">
        <f t="shared" ref="M18:O18" si="8">(M16/L16)-1</f>
        <v>0.21205109707388314</v>
      </c>
      <c r="N18" s="11">
        <f t="shared" si="8"/>
        <v>0.31237554650659205</v>
      </c>
      <c r="O18" s="11">
        <f t="shared" si="8"/>
        <v>0.12339652000132739</v>
      </c>
      <c r="P18" s="11"/>
      <c r="Q18" s="11">
        <f t="shared" ref="Q18" si="9">(Q16/P16)-1</f>
        <v>3.1619905185008568E-2</v>
      </c>
      <c r="R18" s="11">
        <f t="shared" ref="R18" si="10">(R16/Q16)-1</f>
        <v>0.1543591670399862</v>
      </c>
      <c r="S18" s="11">
        <f t="shared" ref="S18" si="11">(S16/R16)-1</f>
        <v>0.10809897284068071</v>
      </c>
    </row>
    <row r="19" spans="1:19" ht="16" x14ac:dyDescent="0.2">
      <c r="A19" s="2" t="s">
        <v>30</v>
      </c>
      <c r="B19" s="3">
        <v>22662000</v>
      </c>
      <c r="C19" s="3">
        <v>42273000</v>
      </c>
      <c r="D19" s="3">
        <v>37240000</v>
      </c>
      <c r="E19" s="3">
        <v>33095000</v>
      </c>
      <c r="F19" s="3">
        <v>33018000</v>
      </c>
      <c r="G19" s="3">
        <v>46509000</v>
      </c>
      <c r="H19" s="3">
        <v>25023000</v>
      </c>
      <c r="I19" s="3">
        <v>30347000</v>
      </c>
      <c r="J19" s="3">
        <v>18427000</v>
      </c>
      <c r="K19" s="3">
        <v>37476000</v>
      </c>
      <c r="L19" s="3">
        <v>83998000</v>
      </c>
      <c r="M19" s="3">
        <v>-59835000</v>
      </c>
      <c r="N19" s="3">
        <v>71105000</v>
      </c>
      <c r="O19" s="4">
        <v>83077000</v>
      </c>
      <c r="P19" s="3">
        <v>21046000</v>
      </c>
      <c r="Q19" s="3">
        <v>20495000</v>
      </c>
      <c r="R19" s="3">
        <v>22292000</v>
      </c>
      <c r="S19" s="3">
        <v>19244000</v>
      </c>
    </row>
    <row r="20" spans="1:19" ht="16" x14ac:dyDescent="0.2">
      <c r="A20" s="2" t="s">
        <v>31</v>
      </c>
      <c r="B20" s="3">
        <v>22436000</v>
      </c>
      <c r="C20" s="3">
        <v>30172000</v>
      </c>
      <c r="D20" s="3">
        <v>31417000</v>
      </c>
      <c r="E20" s="3">
        <v>30227000</v>
      </c>
      <c r="F20" s="3">
        <v>28550000</v>
      </c>
      <c r="G20" s="3">
        <v>29150000</v>
      </c>
      <c r="H20" s="3">
        <v>26633000</v>
      </c>
      <c r="I20" s="3">
        <v>25790000</v>
      </c>
      <c r="J20" s="3">
        <v>31311000</v>
      </c>
      <c r="K20" s="3">
        <v>39752000</v>
      </c>
      <c r="L20" s="3">
        <v>42177000</v>
      </c>
      <c r="M20" s="3">
        <v>40092000</v>
      </c>
      <c r="N20" s="3">
        <v>68967000</v>
      </c>
      <c r="O20" s="4">
        <v>92082000</v>
      </c>
      <c r="P20" s="3">
        <v>20840000</v>
      </c>
      <c r="Q20" s="3">
        <v>22800000</v>
      </c>
      <c r="R20" s="3">
        <v>23897000</v>
      </c>
      <c r="S20" s="3">
        <v>24545000</v>
      </c>
    </row>
    <row r="21" spans="1:19" ht="16" x14ac:dyDescent="0.2">
      <c r="A21" s="2" t="s">
        <v>32</v>
      </c>
      <c r="B21" s="3">
        <v>24124000</v>
      </c>
      <c r="C21" s="3">
        <v>32364000</v>
      </c>
      <c r="D21" s="3">
        <v>31734000</v>
      </c>
      <c r="E21" s="3">
        <v>30281000</v>
      </c>
      <c r="F21" s="3">
        <v>28550000</v>
      </c>
      <c r="G21" s="3">
        <v>29150000</v>
      </c>
      <c r="H21" s="3">
        <v>26633000</v>
      </c>
      <c r="I21" s="3">
        <v>25790000</v>
      </c>
      <c r="J21" s="3">
        <v>31311000</v>
      </c>
      <c r="K21" s="3">
        <v>39752000</v>
      </c>
      <c r="L21" s="3">
        <v>42177000</v>
      </c>
      <c r="M21" s="3">
        <v>40092000</v>
      </c>
      <c r="N21" s="3">
        <v>68967000</v>
      </c>
      <c r="O21" s="4">
        <v>92082000</v>
      </c>
      <c r="P21" s="3">
        <v>20840000</v>
      </c>
      <c r="Q21" s="3">
        <v>22800000</v>
      </c>
      <c r="R21" s="3">
        <v>23897000</v>
      </c>
      <c r="S21" s="3">
        <v>24545000</v>
      </c>
    </row>
    <row r="22" spans="1:19" ht="16" x14ac:dyDescent="0.2">
      <c r="A22" s="2" t="s">
        <v>33</v>
      </c>
      <c r="B22" s="3">
        <v>1688000</v>
      </c>
      <c r="C22" s="3">
        <v>2192000</v>
      </c>
      <c r="D22" s="3">
        <v>317000</v>
      </c>
      <c r="E22" s="3">
        <v>54000</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226000</v>
      </c>
      <c r="C23" s="3">
        <v>12101000</v>
      </c>
      <c r="D23" s="3">
        <v>5823000</v>
      </c>
      <c r="E23" s="3">
        <v>2868000</v>
      </c>
      <c r="F23" s="3">
        <v>4468000</v>
      </c>
      <c r="G23" s="3">
        <v>17359000</v>
      </c>
      <c r="H23" s="3">
        <v>-1610000</v>
      </c>
      <c r="I23" s="3">
        <v>4557000</v>
      </c>
      <c r="J23" s="3">
        <v>-12884000</v>
      </c>
      <c r="K23" s="3">
        <v>-2276000</v>
      </c>
      <c r="L23" s="3">
        <v>41821000</v>
      </c>
      <c r="M23" s="3">
        <v>-99927000</v>
      </c>
      <c r="N23" s="3">
        <v>2138000</v>
      </c>
      <c r="O23" s="4">
        <v>-9005000</v>
      </c>
      <c r="P23" s="3">
        <v>206000</v>
      </c>
      <c r="Q23" s="3">
        <v>-2305000</v>
      </c>
      <c r="R23" s="3">
        <v>-1605000</v>
      </c>
      <c r="S23" s="3">
        <v>-5301000</v>
      </c>
    </row>
    <row r="24" spans="1:19" ht="16" x14ac:dyDescent="0.2">
      <c r="A24" s="2" t="s">
        <v>35</v>
      </c>
      <c r="B24" s="3">
        <v>92304000</v>
      </c>
      <c r="C24" s="3">
        <v>97455000</v>
      </c>
      <c r="D24" s="3">
        <v>136243000</v>
      </c>
      <c r="E24" s="3">
        <v>131984000</v>
      </c>
      <c r="F24" s="3">
        <v>133131000</v>
      </c>
      <c r="G24" s="3">
        <v>109238000</v>
      </c>
      <c r="H24" s="3">
        <v>144569000</v>
      </c>
      <c r="I24" s="3">
        <v>151324000</v>
      </c>
      <c r="J24" s="3">
        <v>188010000</v>
      </c>
      <c r="K24" s="3">
        <v>216072000</v>
      </c>
      <c r="L24" s="3">
        <v>257000000</v>
      </c>
      <c r="M24" s="3">
        <v>473142000</v>
      </c>
      <c r="N24" s="3">
        <v>471309000</v>
      </c>
      <c r="O24" s="4">
        <v>526269000</v>
      </c>
      <c r="P24" s="3">
        <v>113110000</v>
      </c>
      <c r="Q24" s="3">
        <v>117903000</v>
      </c>
      <c r="R24" s="3">
        <v>137469000</v>
      </c>
      <c r="S24" s="3">
        <v>157787000</v>
      </c>
    </row>
    <row r="25" spans="1:19" ht="16" x14ac:dyDescent="0.2">
      <c r="A25" s="2" t="s">
        <v>36</v>
      </c>
      <c r="B25" s="3">
        <v>27847000</v>
      </c>
      <c r="C25" s="3">
        <v>25893000</v>
      </c>
      <c r="D25" s="3">
        <v>44239000</v>
      </c>
      <c r="E25" s="3">
        <v>41889000</v>
      </c>
      <c r="F25" s="3">
        <v>38252000</v>
      </c>
      <c r="G25" s="3">
        <v>22736000</v>
      </c>
      <c r="H25" s="3">
        <v>35121000</v>
      </c>
      <c r="I25" s="3">
        <v>23068000</v>
      </c>
      <c r="J25" s="3">
        <v>45595000</v>
      </c>
      <c r="K25" s="3">
        <v>23948000</v>
      </c>
      <c r="L25" s="3">
        <v>20589000</v>
      </c>
      <c r="M25" s="3">
        <v>81058000</v>
      </c>
      <c r="N25" s="3">
        <v>97768000</v>
      </c>
      <c r="O25" s="4">
        <v>107619000</v>
      </c>
      <c r="P25" s="3">
        <v>22411000</v>
      </c>
      <c r="Q25" s="3">
        <v>20260000</v>
      </c>
      <c r="R25" s="3">
        <v>35919000</v>
      </c>
      <c r="S25" s="3">
        <v>29029000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64457000</v>
      </c>
      <c r="C27" s="3">
        <v>71562000</v>
      </c>
      <c r="D27" s="3">
        <v>92004000</v>
      </c>
      <c r="E27" s="3">
        <v>90095000</v>
      </c>
      <c r="F27" s="3">
        <v>94879000</v>
      </c>
      <c r="G27" s="3">
        <v>86502000</v>
      </c>
      <c r="H27" s="3">
        <v>109448000</v>
      </c>
      <c r="I27" s="3">
        <v>128256000</v>
      </c>
      <c r="J27" s="3">
        <v>142415000</v>
      </c>
      <c r="K27" s="3">
        <v>192124000</v>
      </c>
      <c r="L27" s="3">
        <v>236411000</v>
      </c>
      <c r="M27" s="3">
        <v>392084000</v>
      </c>
      <c r="N27" s="3">
        <v>373541000</v>
      </c>
      <c r="O27" s="4">
        <v>418650000</v>
      </c>
      <c r="P27" s="3">
        <v>90699000</v>
      </c>
      <c r="Q27" s="3">
        <v>97643000</v>
      </c>
      <c r="R27" s="3">
        <v>101550000</v>
      </c>
      <c r="S27" s="3">
        <v>128758000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64457000</v>
      </c>
      <c r="C31" s="3">
        <v>71562000</v>
      </c>
      <c r="D31" s="3">
        <v>92004000</v>
      </c>
      <c r="E31" s="3">
        <v>90095000</v>
      </c>
      <c r="F31" s="3">
        <v>94879000</v>
      </c>
      <c r="G31" s="3">
        <v>86502000</v>
      </c>
      <c r="H31" s="3">
        <v>109448000</v>
      </c>
      <c r="I31" s="3">
        <v>128256000</v>
      </c>
      <c r="J31" s="3">
        <v>142415000</v>
      </c>
      <c r="K31" s="3">
        <v>192124000</v>
      </c>
      <c r="L31" s="3">
        <v>236411000</v>
      </c>
      <c r="M31" s="3">
        <v>392084000</v>
      </c>
      <c r="N31" s="3">
        <v>373541000</v>
      </c>
      <c r="O31" s="4">
        <v>418650000</v>
      </c>
      <c r="P31" s="3">
        <v>90699000</v>
      </c>
      <c r="Q31" s="3">
        <v>97643000</v>
      </c>
      <c r="R31" s="3">
        <v>101550000</v>
      </c>
      <c r="S31" s="3">
        <v>128758000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4" t="s">
        <v>44</v>
      </c>
      <c r="B33" s="30">
        <v>64457000</v>
      </c>
      <c r="C33" s="30">
        <v>71562000</v>
      </c>
      <c r="D33" s="30">
        <v>92004000</v>
      </c>
      <c r="E33" s="30">
        <v>90095000</v>
      </c>
      <c r="F33" s="30">
        <v>94879000</v>
      </c>
      <c r="G33" s="30">
        <v>86502000</v>
      </c>
      <c r="H33" s="30">
        <v>109448000</v>
      </c>
      <c r="I33" s="30">
        <v>128256000</v>
      </c>
      <c r="J33" s="30">
        <v>142415000</v>
      </c>
      <c r="K33" s="30">
        <v>192124000</v>
      </c>
      <c r="L33" s="30">
        <v>236411000</v>
      </c>
      <c r="M33" s="30">
        <v>392084000</v>
      </c>
      <c r="N33" s="30">
        <v>373541000</v>
      </c>
      <c r="O33" s="31">
        <v>418650000</v>
      </c>
      <c r="P33" s="30">
        <v>90699000</v>
      </c>
      <c r="Q33" s="30">
        <v>97643000</v>
      </c>
      <c r="R33" s="30">
        <v>101550000</v>
      </c>
      <c r="S33" s="30">
        <v>128758000</v>
      </c>
    </row>
    <row r="34" spans="1:19" ht="16" x14ac:dyDescent="0.2">
      <c r="A34" s="29" t="s">
        <v>60</v>
      </c>
      <c r="B34" s="32">
        <v>10.64</v>
      </c>
      <c r="C34" s="32">
        <v>11.55</v>
      </c>
      <c r="D34" s="32">
        <v>13.6</v>
      </c>
      <c r="E34" s="32">
        <v>12.12</v>
      </c>
      <c r="F34" s="32">
        <v>12.03</v>
      </c>
      <c r="G34" s="32">
        <v>10.31</v>
      </c>
      <c r="H34" s="32">
        <v>12.42</v>
      </c>
      <c r="I34" s="32">
        <v>13.76</v>
      </c>
      <c r="J34" s="32">
        <v>13.79</v>
      </c>
      <c r="K34" s="32">
        <v>16.559999999999999</v>
      </c>
      <c r="L34" s="32">
        <v>18.260000000000002</v>
      </c>
      <c r="M34" s="32">
        <v>29.78</v>
      </c>
      <c r="N34" s="32">
        <v>27.12</v>
      </c>
      <c r="O34" s="33">
        <v>28.43</v>
      </c>
      <c r="P34" s="32">
        <v>26.01</v>
      </c>
      <c r="Q34" s="32">
        <v>28.31</v>
      </c>
      <c r="R34" s="32">
        <v>26.7</v>
      </c>
      <c r="S34" s="32">
        <v>32.299999999999997</v>
      </c>
    </row>
    <row r="35" spans="1:19" ht="16" x14ac:dyDescent="0.2">
      <c r="A35" s="16" t="s">
        <v>195</v>
      </c>
      <c r="B35" s="17"/>
      <c r="C35" s="14">
        <f>(C33/B33)-1</f>
        <v>0.11022852444265174</v>
      </c>
      <c r="D35" s="14">
        <f>(D33/C33)-1</f>
        <v>0.28565439758531075</v>
      </c>
      <c r="E35" s="14">
        <f>(E33/D33)-1</f>
        <v>-2.0749097865310207E-2</v>
      </c>
      <c r="F35" s="14">
        <f t="shared" ref="F35:L35" si="12">(F33/E33)-1</f>
        <v>5.3099506076918823E-2</v>
      </c>
      <c r="G35" s="14">
        <f t="shared" si="12"/>
        <v>-8.8291402734008595E-2</v>
      </c>
      <c r="H35" s="14">
        <f t="shared" si="12"/>
        <v>0.26526554299322558</v>
      </c>
      <c r="I35" s="14">
        <f t="shared" si="12"/>
        <v>0.17184416343834519</v>
      </c>
      <c r="J35" s="14">
        <f t="shared" si="12"/>
        <v>0.11039639471057883</v>
      </c>
      <c r="K35" s="14">
        <f t="shared" si="12"/>
        <v>0.3490432889793913</v>
      </c>
      <c r="L35" s="14">
        <f t="shared" si="12"/>
        <v>0.230512585621786</v>
      </c>
      <c r="M35" s="14">
        <f t="shared" ref="M35:O35" si="13">(M33/L33)-1</f>
        <v>0.65848458828057921</v>
      </c>
      <c r="N35" s="14">
        <f t="shared" si="13"/>
        <v>-4.7293437120617066E-2</v>
      </c>
      <c r="O35" s="14">
        <f t="shared" si="13"/>
        <v>0.12076050554022189</v>
      </c>
      <c r="P35" s="14"/>
      <c r="Q35" s="14">
        <f t="shared" ref="Q35" si="14">(Q33/P33)-1</f>
        <v>7.6560932314579055E-2</v>
      </c>
      <c r="R35" s="14">
        <f t="shared" ref="R35" si="15">(R33/Q33)-1</f>
        <v>4.00131089786262E-2</v>
      </c>
      <c r="S35" s="14">
        <f t="shared" ref="S35" si="16">(S33/R33)-1</f>
        <v>0.26792712949286068</v>
      </c>
    </row>
    <row r="36" spans="1:19" ht="16" x14ac:dyDescent="0.2">
      <c r="A36" s="18" t="s">
        <v>196</v>
      </c>
      <c r="B36" s="19">
        <f t="shared" ref="B36:S36" si="17">(B16*(1-0.25))/(B126+B105+B96)</f>
        <v>8.6665279612107182E-2</v>
      </c>
      <c r="C36" s="19">
        <f t="shared" si="17"/>
        <v>0.10720884220261198</v>
      </c>
      <c r="D36" s="19">
        <f t="shared" si="17"/>
        <v>0.13298390443231134</v>
      </c>
      <c r="E36" s="19">
        <f t="shared" si="17"/>
        <v>0.12372548784472912</v>
      </c>
      <c r="F36" s="19">
        <f t="shared" si="17"/>
        <v>0.12453528533480443</v>
      </c>
      <c r="G36" s="19">
        <f t="shared" si="17"/>
        <v>0.11178035747436837</v>
      </c>
      <c r="H36" s="19">
        <f t="shared" si="17"/>
        <v>0.12496610429267027</v>
      </c>
      <c r="I36" s="19">
        <f t="shared" si="17"/>
        <v>0.13211308998601817</v>
      </c>
      <c r="J36" s="19">
        <f t="shared" si="17"/>
        <v>0.15065740244297599</v>
      </c>
      <c r="K36" s="19">
        <f t="shared" si="17"/>
        <v>0.17061576931462455</v>
      </c>
      <c r="L36" s="19">
        <f t="shared" si="17"/>
        <v>0.2064612456043477</v>
      </c>
      <c r="M36" s="19">
        <f t="shared" si="17"/>
        <v>0.25794157001562729</v>
      </c>
      <c r="N36" s="19">
        <f t="shared" si="17"/>
        <v>0.3729079469142389</v>
      </c>
      <c r="O36" s="19">
        <f t="shared" si="17"/>
        <v>0.36551899819483757</v>
      </c>
      <c r="P36" s="19">
        <f t="shared" si="17"/>
        <v>9.2231834956742698E-2</v>
      </c>
      <c r="Q36" s="19">
        <f t="shared" si="17"/>
        <v>8.876742342416305E-2</v>
      </c>
      <c r="R36" s="19">
        <f t="shared" si="17"/>
        <v>0.10131162303045164</v>
      </c>
      <c r="S36" s="19">
        <f t="shared" si="17"/>
        <v>0.10619285885101451</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64457000</v>
      </c>
      <c r="C39" s="3">
        <v>71562000</v>
      </c>
      <c r="D39" s="3">
        <v>92004000</v>
      </c>
      <c r="E39" s="3">
        <v>90095000</v>
      </c>
      <c r="F39" s="3">
        <v>94879000</v>
      </c>
      <c r="G39" s="3">
        <v>86502000</v>
      </c>
      <c r="H39" s="3">
        <v>109448000</v>
      </c>
      <c r="I39" s="3">
        <v>128256000</v>
      </c>
      <c r="J39" s="3">
        <v>142415000</v>
      </c>
      <c r="K39" s="3">
        <v>192124000</v>
      </c>
      <c r="L39" s="3">
        <v>236411000</v>
      </c>
      <c r="M39" s="3">
        <v>392084000</v>
      </c>
      <c r="N39" s="3">
        <v>373541000</v>
      </c>
      <c r="O39" s="4">
        <v>418650000</v>
      </c>
      <c r="P39" s="3">
        <v>90699000</v>
      </c>
      <c r="Q39" s="3">
        <v>97643000</v>
      </c>
      <c r="R39" s="3">
        <v>101550000</v>
      </c>
      <c r="S39" s="3">
        <v>128758000</v>
      </c>
    </row>
    <row r="40" spans="1:19" ht="16" x14ac:dyDescent="0.2">
      <c r="A40" s="2" t="s">
        <v>48</v>
      </c>
      <c r="B40" s="3">
        <v>44903000</v>
      </c>
      <c r="C40" s="3">
        <v>39359000</v>
      </c>
      <c r="D40" s="3">
        <v>34909000</v>
      </c>
      <c r="E40" s="3">
        <v>35332000</v>
      </c>
      <c r="F40" s="3">
        <v>33870000</v>
      </c>
      <c r="G40" s="3">
        <v>31402000</v>
      </c>
      <c r="H40" s="3">
        <v>31129000</v>
      </c>
      <c r="I40" s="3">
        <v>30862000</v>
      </c>
      <c r="J40" s="3">
        <v>29711000</v>
      </c>
      <c r="K40" s="3">
        <v>28980000</v>
      </c>
      <c r="L40" s="3">
        <v>29067000</v>
      </c>
      <c r="M40" s="3">
        <v>28734000</v>
      </c>
      <c r="N40" s="3">
        <v>26042000</v>
      </c>
      <c r="O40" s="4">
        <v>25082750</v>
      </c>
      <c r="P40" s="3">
        <v>25211000</v>
      </c>
      <c r="Q40" s="3">
        <v>25045000</v>
      </c>
      <c r="R40" s="3">
        <v>25116000</v>
      </c>
      <c r="S40" s="3">
        <v>24959000</v>
      </c>
    </row>
    <row r="41" spans="1:19" ht="16" x14ac:dyDescent="0.2">
      <c r="A41" s="2" t="s">
        <v>49</v>
      </c>
      <c r="B41" s="5">
        <v>1.44</v>
      </c>
      <c r="C41" s="5">
        <v>1.82</v>
      </c>
      <c r="D41" s="5">
        <v>2.64</v>
      </c>
      <c r="E41" s="5">
        <v>2.5499999999999998</v>
      </c>
      <c r="F41" s="5">
        <v>2.8</v>
      </c>
      <c r="G41" s="5">
        <v>2.75</v>
      </c>
      <c r="H41" s="5">
        <v>3.52</v>
      </c>
      <c r="I41" s="5">
        <v>4.16</v>
      </c>
      <c r="J41" s="5">
        <v>4.79</v>
      </c>
      <c r="K41" s="5">
        <v>6.63</v>
      </c>
      <c r="L41" s="5">
        <v>8.1300000000000008</v>
      </c>
      <c r="M41" s="5">
        <v>13.65</v>
      </c>
      <c r="N41" s="5">
        <v>14.34</v>
      </c>
      <c r="O41" s="6">
        <v>16.690000000000001</v>
      </c>
      <c r="P41" s="5">
        <v>3.6</v>
      </c>
      <c r="Q41" s="5">
        <v>3.9</v>
      </c>
      <c r="R41" s="5">
        <v>4.04</v>
      </c>
      <c r="S41" s="5">
        <v>5.16</v>
      </c>
    </row>
    <row r="42" spans="1:19" ht="16" x14ac:dyDescent="0.2">
      <c r="A42" s="2" t="s">
        <v>50</v>
      </c>
      <c r="B42" s="5">
        <v>1.44</v>
      </c>
      <c r="C42" s="5">
        <v>1.82</v>
      </c>
      <c r="D42" s="5">
        <v>2.64</v>
      </c>
      <c r="E42" s="5">
        <v>2.5499999999999998</v>
      </c>
      <c r="F42" s="5">
        <v>2.8</v>
      </c>
      <c r="G42" s="5">
        <v>2.75</v>
      </c>
      <c r="H42" s="5">
        <v>3.52</v>
      </c>
      <c r="I42" s="5">
        <v>4.16</v>
      </c>
      <c r="J42" s="5">
        <v>4.79</v>
      </c>
      <c r="K42" s="5">
        <v>6.63</v>
      </c>
      <c r="L42" s="5">
        <v>8.1300000000000008</v>
      </c>
      <c r="M42" s="5">
        <v>13.65</v>
      </c>
      <c r="N42" s="5">
        <v>14.34</v>
      </c>
      <c r="O42" s="6">
        <v>16.690000000000001</v>
      </c>
      <c r="P42" s="5">
        <v>3.6</v>
      </c>
      <c r="Q42" s="5">
        <v>3.9</v>
      </c>
      <c r="R42" s="5">
        <v>4.04</v>
      </c>
      <c r="S42" s="5">
        <v>5.16</v>
      </c>
    </row>
    <row r="43" spans="1:19" ht="16" x14ac:dyDescent="0.2">
      <c r="A43" s="2" t="s">
        <v>51</v>
      </c>
      <c r="B43" s="3">
        <v>45308000</v>
      </c>
      <c r="C43" s="3">
        <v>39988000</v>
      </c>
      <c r="D43" s="3">
        <v>36063000</v>
      </c>
      <c r="E43" s="3">
        <v>36292000</v>
      </c>
      <c r="F43" s="3">
        <v>34864000</v>
      </c>
      <c r="G43" s="3">
        <v>32609000</v>
      </c>
      <c r="H43" s="3">
        <v>32308000</v>
      </c>
      <c r="I43" s="3">
        <v>32245000</v>
      </c>
      <c r="J43" s="3">
        <v>31180000</v>
      </c>
      <c r="K43" s="3">
        <v>30294000</v>
      </c>
      <c r="L43" s="3">
        <v>29932000</v>
      </c>
      <c r="M43" s="3">
        <v>29260000</v>
      </c>
      <c r="N43" s="3">
        <v>26347000</v>
      </c>
      <c r="O43" s="4">
        <v>25440750</v>
      </c>
      <c r="P43" s="3">
        <v>25564000</v>
      </c>
      <c r="Q43" s="3">
        <v>25443000</v>
      </c>
      <c r="R43" s="3">
        <v>25419000</v>
      </c>
      <c r="S43" s="3">
        <v>25337000</v>
      </c>
    </row>
    <row r="44" spans="1:19" ht="16" x14ac:dyDescent="0.2">
      <c r="A44" s="2" t="s">
        <v>52</v>
      </c>
      <c r="B44" s="5">
        <v>1.42</v>
      </c>
      <c r="C44" s="5">
        <v>1.79</v>
      </c>
      <c r="D44" s="5">
        <v>2.5499999999999998</v>
      </c>
      <c r="E44" s="5">
        <v>2.48</v>
      </c>
      <c r="F44" s="5">
        <v>2.72</v>
      </c>
      <c r="G44" s="5">
        <v>2.65</v>
      </c>
      <c r="H44" s="5">
        <v>3.39</v>
      </c>
      <c r="I44" s="5">
        <v>3.98</v>
      </c>
      <c r="J44" s="5">
        <v>4.57</v>
      </c>
      <c r="K44" s="5">
        <v>6.34</v>
      </c>
      <c r="L44" s="5">
        <v>7.9</v>
      </c>
      <c r="M44" s="5">
        <v>13.4</v>
      </c>
      <c r="N44" s="5">
        <v>14.18</v>
      </c>
      <c r="O44" s="6">
        <v>16.46</v>
      </c>
      <c r="P44" s="5">
        <v>3.55</v>
      </c>
      <c r="Q44" s="5">
        <v>3.84</v>
      </c>
      <c r="R44" s="3">
        <v>4</v>
      </c>
      <c r="S44" s="5">
        <v>5.08</v>
      </c>
    </row>
    <row r="45" spans="1:19" ht="16" x14ac:dyDescent="0.2">
      <c r="A45" s="2" t="s">
        <v>53</v>
      </c>
      <c r="B45" s="5">
        <v>1.42</v>
      </c>
      <c r="C45" s="5">
        <v>1.79</v>
      </c>
      <c r="D45" s="5">
        <v>2.5499999999999998</v>
      </c>
      <c r="E45" s="5">
        <v>2.48</v>
      </c>
      <c r="F45" s="5">
        <v>2.72</v>
      </c>
      <c r="G45" s="5">
        <v>2.65</v>
      </c>
      <c r="H45" s="5">
        <v>3.39</v>
      </c>
      <c r="I45" s="5">
        <v>3.98</v>
      </c>
      <c r="J45" s="5">
        <v>4.57</v>
      </c>
      <c r="K45" s="5">
        <v>6.34</v>
      </c>
      <c r="L45" s="5">
        <v>7.9</v>
      </c>
      <c r="M45" s="5">
        <v>13.4</v>
      </c>
      <c r="N45" s="5">
        <v>14.18</v>
      </c>
      <c r="O45" s="6">
        <v>16.46</v>
      </c>
      <c r="P45" s="5">
        <v>3.55</v>
      </c>
      <c r="Q45" s="5">
        <v>3.84</v>
      </c>
      <c r="R45" s="3">
        <v>4</v>
      </c>
      <c r="S45" s="5">
        <v>5.08</v>
      </c>
    </row>
    <row r="46" spans="1:19" ht="16" x14ac:dyDescent="0.2">
      <c r="A46" s="2" t="s">
        <v>54</v>
      </c>
      <c r="B46" s="3">
        <v>145884000</v>
      </c>
      <c r="C46" s="3">
        <v>163925000</v>
      </c>
      <c r="D46" s="3">
        <v>195032000</v>
      </c>
      <c r="E46" s="3">
        <v>198293000</v>
      </c>
      <c r="F46" s="3">
        <v>198781000</v>
      </c>
      <c r="G46" s="3">
        <v>189636000</v>
      </c>
      <c r="H46" s="3">
        <v>201225000</v>
      </c>
      <c r="I46" s="3">
        <v>217885000</v>
      </c>
      <c r="J46" s="3">
        <v>236619000</v>
      </c>
      <c r="K46" s="3">
        <v>285160000</v>
      </c>
      <c r="L46" s="3">
        <v>371365000</v>
      </c>
      <c r="M46" s="3">
        <v>438899000</v>
      </c>
      <c r="N46" s="3">
        <v>562879000</v>
      </c>
      <c r="O46" s="4">
        <v>625634000</v>
      </c>
      <c r="P46" s="3">
        <v>138802000</v>
      </c>
      <c r="Q46" s="3">
        <v>142678000</v>
      </c>
      <c r="R46" s="3">
        <v>163775000</v>
      </c>
      <c r="S46" s="3">
        <v>180379000</v>
      </c>
    </row>
    <row r="47" spans="1:19" ht="16" x14ac:dyDescent="0.2">
      <c r="A47" s="2" t="s">
        <v>55</v>
      </c>
      <c r="B47" s="5">
        <v>24.09</v>
      </c>
      <c r="C47" s="5">
        <v>26.45</v>
      </c>
      <c r="D47" s="5">
        <v>28.83</v>
      </c>
      <c r="E47" s="5">
        <v>26.67</v>
      </c>
      <c r="F47" s="5">
        <v>25.19</v>
      </c>
      <c r="G47" s="5">
        <v>22.61</v>
      </c>
      <c r="H47" s="5">
        <v>22.83</v>
      </c>
      <c r="I47" s="5">
        <v>23.37</v>
      </c>
      <c r="J47" s="5">
        <v>22.92</v>
      </c>
      <c r="K47" s="5">
        <v>24.58</v>
      </c>
      <c r="L47" s="5">
        <v>28.69</v>
      </c>
      <c r="M47" s="5">
        <v>33.340000000000003</v>
      </c>
      <c r="N47" s="5">
        <v>40.869999999999997</v>
      </c>
      <c r="O47" s="6">
        <v>42.49</v>
      </c>
      <c r="P47" s="5">
        <v>40.869999999999997</v>
      </c>
      <c r="Q47" s="5">
        <v>41.77</v>
      </c>
      <c r="R47" s="5">
        <v>41.54</v>
      </c>
      <c r="S47" s="5">
        <v>42.49</v>
      </c>
    </row>
    <row r="48" spans="1:19" ht="16" x14ac:dyDescent="0.2">
      <c r="A48" s="2" t="s">
        <v>56</v>
      </c>
      <c r="B48" s="3">
        <v>114966000</v>
      </c>
      <c r="C48" s="3">
        <v>139728000</v>
      </c>
      <c r="D48" s="3">
        <v>173483000</v>
      </c>
      <c r="E48" s="3">
        <v>165079000</v>
      </c>
      <c r="F48" s="3">
        <v>166149000</v>
      </c>
      <c r="G48" s="3">
        <v>155747000</v>
      </c>
      <c r="H48" s="3">
        <v>169592000</v>
      </c>
      <c r="I48" s="3">
        <v>181671000</v>
      </c>
      <c r="J48" s="3">
        <v>206437000</v>
      </c>
      <c r="K48" s="3">
        <v>253548000</v>
      </c>
      <c r="L48" s="3">
        <v>340998000</v>
      </c>
      <c r="M48" s="3">
        <v>413307000</v>
      </c>
      <c r="N48" s="3">
        <v>542414000</v>
      </c>
      <c r="O48" s="4">
        <v>617289000</v>
      </c>
      <c r="P48" s="3">
        <v>138360000</v>
      </c>
      <c r="Q48" s="3">
        <v>138398000</v>
      </c>
      <c r="R48" s="3">
        <v>163500000</v>
      </c>
      <c r="S48" s="3">
        <v>177031000</v>
      </c>
    </row>
    <row r="49" spans="1:19" ht="16" x14ac:dyDescent="0.2">
      <c r="A49" s="2" t="s">
        <v>57</v>
      </c>
      <c r="B49" s="3">
        <v>114966000</v>
      </c>
      <c r="C49" s="3">
        <v>139728000</v>
      </c>
      <c r="D49" s="3">
        <v>173483000</v>
      </c>
      <c r="E49" s="3">
        <v>165079000</v>
      </c>
      <c r="F49" s="3">
        <v>166149000</v>
      </c>
      <c r="G49" s="3">
        <v>155747000</v>
      </c>
      <c r="H49" s="3">
        <v>169592000</v>
      </c>
      <c r="I49" s="3">
        <v>181671000</v>
      </c>
      <c r="J49" s="3">
        <v>206437000</v>
      </c>
      <c r="K49" s="3">
        <v>253548000</v>
      </c>
      <c r="L49" s="3">
        <v>340998000</v>
      </c>
      <c r="M49" s="3">
        <v>413307000</v>
      </c>
      <c r="N49" s="3">
        <v>542414000</v>
      </c>
      <c r="O49" s="4">
        <v>609346000</v>
      </c>
      <c r="P49" s="3">
        <v>134156000</v>
      </c>
      <c r="Q49" s="3">
        <v>138398000</v>
      </c>
      <c r="R49" s="3">
        <v>159761000</v>
      </c>
      <c r="S49" s="3">
        <v>177031000</v>
      </c>
    </row>
    <row r="50" spans="1:19" ht="16" x14ac:dyDescent="0.2">
      <c r="A50" s="2" t="s">
        <v>61</v>
      </c>
      <c r="B50" s="3">
        <v>280780</v>
      </c>
      <c r="C50" s="3">
        <v>306319</v>
      </c>
      <c r="D50" s="3">
        <v>292191</v>
      </c>
      <c r="E50" s="3">
        <v>299534</v>
      </c>
      <c r="F50" s="3">
        <v>298180</v>
      </c>
      <c r="G50" s="3">
        <v>299244</v>
      </c>
      <c r="H50" s="3">
        <v>285413</v>
      </c>
      <c r="I50" s="3">
        <v>282561</v>
      </c>
      <c r="J50" s="3">
        <v>281482</v>
      </c>
      <c r="K50" s="3">
        <v>289370</v>
      </c>
      <c r="L50" s="3">
        <v>323398</v>
      </c>
      <c r="M50" s="3">
        <v>359513</v>
      </c>
      <c r="N50" s="3">
        <v>404603</v>
      </c>
      <c r="O50" s="4">
        <v>432600</v>
      </c>
      <c r="P50" s="3">
        <v>102452</v>
      </c>
      <c r="Q50" s="3">
        <v>101313</v>
      </c>
      <c r="R50" s="3">
        <v>111712</v>
      </c>
      <c r="S50" s="3">
        <v>117123</v>
      </c>
    </row>
    <row r="51" spans="1:19" ht="16" x14ac:dyDescent="0.2">
      <c r="A51" s="2" t="s">
        <v>62</v>
      </c>
      <c r="B51" s="5">
        <v>0.08</v>
      </c>
      <c r="C51" s="5">
        <v>0.08</v>
      </c>
      <c r="D51" s="5">
        <v>0.08</v>
      </c>
      <c r="E51" s="5">
        <v>0.08</v>
      </c>
      <c r="F51" s="5">
        <v>0.08</v>
      </c>
      <c r="G51" s="5">
        <v>0.08</v>
      </c>
      <c r="H51" s="5">
        <v>0.08</v>
      </c>
      <c r="I51" s="5">
        <v>0.04</v>
      </c>
      <c r="J51" s="3" t="s">
        <v>24</v>
      </c>
      <c r="K51" s="3" t="s">
        <v>24</v>
      </c>
      <c r="L51" s="3" t="s">
        <v>24</v>
      </c>
      <c r="M51" s="3" t="s">
        <v>24</v>
      </c>
      <c r="N51" s="3" t="s">
        <v>24</v>
      </c>
      <c r="O51" s="4" t="s">
        <v>24</v>
      </c>
      <c r="P51" s="3" t="s">
        <v>24</v>
      </c>
      <c r="Q51" s="3" t="s">
        <v>24</v>
      </c>
      <c r="R51" s="3" t="s">
        <v>24</v>
      </c>
      <c r="S51" s="3" t="s">
        <v>24</v>
      </c>
    </row>
    <row r="52" spans="1:19" ht="16" x14ac:dyDescent="0.2">
      <c r="A52" s="2" t="s">
        <v>63</v>
      </c>
      <c r="B52" s="3">
        <v>30918000</v>
      </c>
      <c r="C52" s="3">
        <v>24197000</v>
      </c>
      <c r="D52" s="3">
        <v>21549000</v>
      </c>
      <c r="E52" s="3">
        <v>33214000</v>
      </c>
      <c r="F52" s="3">
        <v>32632000</v>
      </c>
      <c r="G52" s="3">
        <v>33889000</v>
      </c>
      <c r="H52" s="3">
        <v>31633000</v>
      </c>
      <c r="I52" s="3">
        <v>36214000</v>
      </c>
      <c r="J52" s="3">
        <v>30182000</v>
      </c>
      <c r="K52" s="3">
        <v>31612000</v>
      </c>
      <c r="L52" s="3">
        <v>30367000</v>
      </c>
      <c r="M52" s="3">
        <v>25592000</v>
      </c>
      <c r="N52" s="3">
        <v>20465000</v>
      </c>
      <c r="O52" s="4">
        <v>8345000</v>
      </c>
      <c r="P52" s="3">
        <v>442000</v>
      </c>
      <c r="Q52" s="3">
        <v>4280000</v>
      </c>
      <c r="R52" s="3">
        <v>275000</v>
      </c>
      <c r="S52" s="3">
        <v>3348000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347175000</v>
      </c>
      <c r="C55" s="3">
        <v>364481000</v>
      </c>
      <c r="D55" s="3">
        <v>259325000</v>
      </c>
      <c r="E55" s="3">
        <v>249188000</v>
      </c>
      <c r="F55" s="3">
        <v>288527000</v>
      </c>
      <c r="G55" s="3">
        <v>286602000</v>
      </c>
      <c r="H55" s="3">
        <v>267638000</v>
      </c>
      <c r="I55" s="3">
        <v>310931000</v>
      </c>
      <c r="J55" s="3">
        <v>338512000</v>
      </c>
      <c r="K55" s="3">
        <v>455706000</v>
      </c>
      <c r="L55" s="3">
        <v>534078000</v>
      </c>
      <c r="M55" s="3">
        <v>550974000</v>
      </c>
      <c r="N55" s="3">
        <v>484715000</v>
      </c>
      <c r="O55" s="4">
        <v>575011000</v>
      </c>
      <c r="P55" s="3">
        <v>484715000</v>
      </c>
      <c r="Q55" s="3">
        <v>483822000</v>
      </c>
      <c r="R55" s="3">
        <v>521326000</v>
      </c>
      <c r="S55" s="3">
        <v>575011000</v>
      </c>
    </row>
    <row r="56" spans="1:19" ht="16" x14ac:dyDescent="0.2">
      <c r="A56" s="2" t="s">
        <v>65</v>
      </c>
      <c r="B56" s="3">
        <v>214814000</v>
      </c>
      <c r="C56" s="3">
        <v>241578000</v>
      </c>
      <c r="D56" s="3">
        <v>93617000</v>
      </c>
      <c r="E56" s="3">
        <v>83178000</v>
      </c>
      <c r="F56" s="3">
        <v>105075000</v>
      </c>
      <c r="G56" s="3">
        <v>86120000</v>
      </c>
      <c r="H56" s="3">
        <v>75926000</v>
      </c>
      <c r="I56" s="3">
        <v>105618000</v>
      </c>
      <c r="J56" s="3">
        <v>90023000</v>
      </c>
      <c r="K56" s="3">
        <v>106426000</v>
      </c>
      <c r="L56" s="3">
        <v>157394000</v>
      </c>
      <c r="M56" s="3">
        <v>195354000</v>
      </c>
      <c r="N56" s="3">
        <v>133202000</v>
      </c>
      <c r="O56" s="4">
        <v>163022000</v>
      </c>
      <c r="P56" s="3">
        <v>133202000</v>
      </c>
      <c r="Q56" s="3">
        <v>139856000</v>
      </c>
      <c r="R56" s="3">
        <v>137771000</v>
      </c>
      <c r="S56" s="3">
        <v>163022000</v>
      </c>
    </row>
    <row r="57" spans="1:19" ht="16" x14ac:dyDescent="0.2">
      <c r="A57" s="2" t="s">
        <v>66</v>
      </c>
      <c r="B57" s="3">
        <v>146199000</v>
      </c>
      <c r="C57" s="3">
        <v>135752000</v>
      </c>
      <c r="D57" s="3">
        <v>71609000</v>
      </c>
      <c r="E57" s="3">
        <v>83178000</v>
      </c>
      <c r="F57" s="3">
        <v>105075000</v>
      </c>
      <c r="G57" s="3">
        <v>86120000</v>
      </c>
      <c r="H57" s="3">
        <v>75926000</v>
      </c>
      <c r="I57" s="3">
        <v>105618000</v>
      </c>
      <c r="J57" s="3">
        <v>90023000</v>
      </c>
      <c r="K57" s="3">
        <v>106426000</v>
      </c>
      <c r="L57" s="3">
        <v>157394000</v>
      </c>
      <c r="M57" s="3">
        <v>195354000</v>
      </c>
      <c r="N57" s="3">
        <v>133202000</v>
      </c>
      <c r="O57" s="4">
        <v>163022000</v>
      </c>
      <c r="P57" s="3">
        <v>133202000</v>
      </c>
      <c r="Q57" s="3">
        <v>139856000</v>
      </c>
      <c r="R57" s="3">
        <v>137771000</v>
      </c>
      <c r="S57" s="3">
        <v>163022000</v>
      </c>
    </row>
    <row r="58" spans="1:19" ht="16" x14ac:dyDescent="0.2">
      <c r="A58" s="2" t="s">
        <v>67</v>
      </c>
      <c r="B58" s="3">
        <v>68615000</v>
      </c>
      <c r="C58" s="3">
        <v>105826000</v>
      </c>
      <c r="D58" s="3">
        <v>22008000</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113187000</v>
      </c>
      <c r="C59" s="3">
        <v>104974000</v>
      </c>
      <c r="D59" s="3">
        <v>142595000</v>
      </c>
      <c r="E59" s="3">
        <v>143733000</v>
      </c>
      <c r="F59" s="3">
        <v>155295000</v>
      </c>
      <c r="G59" s="3">
        <v>158773000</v>
      </c>
      <c r="H59" s="3">
        <v>167786000</v>
      </c>
      <c r="I59" s="3">
        <v>168586000</v>
      </c>
      <c r="J59" s="3">
        <v>208865000</v>
      </c>
      <c r="K59" s="3">
        <v>297427000</v>
      </c>
      <c r="L59" s="3">
        <v>334180000</v>
      </c>
      <c r="M59" s="3">
        <v>312107000</v>
      </c>
      <c r="N59" s="3">
        <v>322410000</v>
      </c>
      <c r="O59" s="4">
        <v>384024000</v>
      </c>
      <c r="P59" s="3">
        <v>322410000</v>
      </c>
      <c r="Q59" s="3">
        <v>308234000</v>
      </c>
      <c r="R59" s="3">
        <v>338239000</v>
      </c>
      <c r="S59" s="3">
        <v>384024000</v>
      </c>
    </row>
    <row r="60" spans="1:19" ht="16" x14ac:dyDescent="0.2">
      <c r="A60" s="2" t="s">
        <v>69</v>
      </c>
      <c r="B60" s="3">
        <v>113187000</v>
      </c>
      <c r="C60" s="3">
        <v>104974000</v>
      </c>
      <c r="D60" s="3">
        <v>142595000</v>
      </c>
      <c r="E60" s="3">
        <v>143733000</v>
      </c>
      <c r="F60" s="3">
        <v>155295000</v>
      </c>
      <c r="G60" s="3">
        <v>158773000</v>
      </c>
      <c r="H60" s="3">
        <v>167786000</v>
      </c>
      <c r="I60" s="3">
        <v>168586000</v>
      </c>
      <c r="J60" s="3">
        <v>208865000</v>
      </c>
      <c r="K60" s="3">
        <v>297427000</v>
      </c>
      <c r="L60" s="3">
        <v>334180000</v>
      </c>
      <c r="M60" s="3">
        <v>312107000</v>
      </c>
      <c r="N60" s="3">
        <v>322410000</v>
      </c>
      <c r="O60" s="4">
        <v>384024000</v>
      </c>
      <c r="P60" s="3">
        <v>322410000</v>
      </c>
      <c r="Q60" s="3">
        <v>308234000</v>
      </c>
      <c r="R60" s="3">
        <v>338239000</v>
      </c>
      <c r="S60" s="3">
        <v>384024000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19174000</v>
      </c>
      <c r="C70" s="3">
        <v>17929000</v>
      </c>
      <c r="D70" s="3">
        <v>23113000</v>
      </c>
      <c r="E70" s="3">
        <v>22277000</v>
      </c>
      <c r="F70" s="3">
        <v>28157000</v>
      </c>
      <c r="G70" s="3">
        <v>41709000</v>
      </c>
      <c r="H70" s="3">
        <v>23926000</v>
      </c>
      <c r="I70" s="3">
        <v>36727000</v>
      </c>
      <c r="J70" s="3">
        <v>39624000</v>
      </c>
      <c r="K70" s="3">
        <v>51853000</v>
      </c>
      <c r="L70" s="3">
        <v>42504000</v>
      </c>
      <c r="M70" s="3">
        <v>43513000</v>
      </c>
      <c r="N70" s="3">
        <v>29103000</v>
      </c>
      <c r="O70" s="4">
        <v>27965000</v>
      </c>
      <c r="P70" s="3">
        <v>29103000</v>
      </c>
      <c r="Q70" s="3">
        <v>35732000</v>
      </c>
      <c r="R70" s="3">
        <v>45316000</v>
      </c>
      <c r="S70" s="3">
        <v>27965000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776541000</v>
      </c>
      <c r="C76" s="3">
        <v>764987000</v>
      </c>
      <c r="D76" s="3">
        <v>899286000</v>
      </c>
      <c r="E76" s="3">
        <v>912359000</v>
      </c>
      <c r="F76" s="3">
        <v>903771000</v>
      </c>
      <c r="G76" s="3">
        <v>943561000</v>
      </c>
      <c r="H76" s="3">
        <v>953414000</v>
      </c>
      <c r="I76" s="3">
        <v>944689000</v>
      </c>
      <c r="J76" s="3">
        <v>916567000</v>
      </c>
      <c r="K76" s="3">
        <v>977742000</v>
      </c>
      <c r="L76" s="3">
        <v>1072162000</v>
      </c>
      <c r="M76" s="3">
        <v>1016802000</v>
      </c>
      <c r="N76" s="3">
        <v>957319000</v>
      </c>
      <c r="O76" s="4">
        <v>1009558000</v>
      </c>
      <c r="P76" s="3">
        <v>957319000</v>
      </c>
      <c r="Q76" s="3">
        <v>974871000</v>
      </c>
      <c r="R76" s="3">
        <v>981105000</v>
      </c>
      <c r="S76" s="3">
        <v>1009558000</v>
      </c>
    </row>
    <row r="77" spans="1:19" ht="16" x14ac:dyDescent="0.2">
      <c r="A77" s="2" t="s">
        <v>86</v>
      </c>
      <c r="B77" s="3">
        <v>30975000</v>
      </c>
      <c r="C77" s="3">
        <v>33017000</v>
      </c>
      <c r="D77" s="3">
        <v>41080000</v>
      </c>
      <c r="E77" s="3">
        <v>45155000</v>
      </c>
      <c r="F77" s="3">
        <v>36677000</v>
      </c>
      <c r="G77" s="3">
        <v>38208000</v>
      </c>
      <c r="H77" s="3">
        <v>45122000</v>
      </c>
      <c r="I77" s="3">
        <v>40703000</v>
      </c>
      <c r="J77" s="3">
        <v>48837000</v>
      </c>
      <c r="K77" s="3">
        <v>53027000</v>
      </c>
      <c r="L77" s="3">
        <v>-10625000</v>
      </c>
      <c r="M77" s="3">
        <v>-21865000</v>
      </c>
      <c r="N77" s="3">
        <v>-40563000</v>
      </c>
      <c r="O77" s="4">
        <v>-51552000</v>
      </c>
      <c r="P77" s="3">
        <v>-40563000</v>
      </c>
      <c r="Q77" s="3">
        <v>47342000</v>
      </c>
      <c r="R77" s="3">
        <v>-56499000</v>
      </c>
      <c r="S77" s="3">
        <v>-51552000</v>
      </c>
    </row>
    <row r="78" spans="1:19" ht="16" x14ac:dyDescent="0.2">
      <c r="A78" s="2" t="s">
        <v>87</v>
      </c>
      <c r="B78" s="3">
        <v>218125000</v>
      </c>
      <c r="C78" s="3">
        <v>183826000</v>
      </c>
      <c r="D78" s="3">
        <v>189519000</v>
      </c>
      <c r="E78" s="3">
        <v>174822000</v>
      </c>
      <c r="F78" s="3">
        <v>164548000</v>
      </c>
      <c r="G78" s="3">
        <v>109860000</v>
      </c>
      <c r="H78" s="3">
        <v>126760000</v>
      </c>
      <c r="I78" s="3">
        <v>135360000</v>
      </c>
      <c r="J78" s="3">
        <v>156154000</v>
      </c>
      <c r="K78" s="3">
        <v>172075000</v>
      </c>
      <c r="L78" s="3">
        <v>104075000</v>
      </c>
      <c r="M78" s="3">
        <v>75188000</v>
      </c>
      <c r="N78" s="3">
        <v>54268000</v>
      </c>
      <c r="O78" s="4">
        <v>38396000</v>
      </c>
      <c r="P78" s="3">
        <v>54268000</v>
      </c>
      <c r="Q78" s="3">
        <v>145292000</v>
      </c>
      <c r="R78" s="3">
        <v>43302000</v>
      </c>
      <c r="S78" s="3">
        <v>38396000</v>
      </c>
    </row>
    <row r="79" spans="1:19" ht="16" x14ac:dyDescent="0.2">
      <c r="A79" s="2" t="s">
        <v>88</v>
      </c>
      <c r="B79" s="3">
        <v>187150000</v>
      </c>
      <c r="C79" s="3">
        <v>150809000</v>
      </c>
      <c r="D79" s="3">
        <v>148439000</v>
      </c>
      <c r="E79" s="3">
        <v>129667000</v>
      </c>
      <c r="F79" s="3">
        <v>127871000</v>
      </c>
      <c r="G79" s="3">
        <v>71652000</v>
      </c>
      <c r="H79" s="3">
        <v>81638000</v>
      </c>
      <c r="I79" s="3">
        <v>94657000</v>
      </c>
      <c r="J79" s="3">
        <v>107317000</v>
      </c>
      <c r="K79" s="3">
        <v>119048000</v>
      </c>
      <c r="L79" s="3">
        <v>114700000</v>
      </c>
      <c r="M79" s="3">
        <v>97053000</v>
      </c>
      <c r="N79" s="3">
        <v>94831000</v>
      </c>
      <c r="O79" s="4">
        <v>89948000</v>
      </c>
      <c r="P79" s="3">
        <v>94831000</v>
      </c>
      <c r="Q79" s="3">
        <v>97950000</v>
      </c>
      <c r="R79" s="3">
        <v>99801000</v>
      </c>
      <c r="S79" s="3">
        <v>89948000</v>
      </c>
    </row>
    <row r="80" spans="1:19" ht="16" x14ac:dyDescent="0.2">
      <c r="A80" s="2" t="s">
        <v>89</v>
      </c>
      <c r="B80" s="3">
        <v>15441000</v>
      </c>
      <c r="C80" s="3">
        <v>15104000</v>
      </c>
      <c r="D80" s="3">
        <v>16500000</v>
      </c>
      <c r="E80" s="3">
        <v>18140000</v>
      </c>
      <c r="F80" s="3">
        <v>19784000</v>
      </c>
      <c r="G80" s="3">
        <v>20525000</v>
      </c>
      <c r="H80" s="3">
        <v>21936000</v>
      </c>
      <c r="I80" s="3">
        <v>25515000</v>
      </c>
      <c r="J80" s="3">
        <v>19756000</v>
      </c>
      <c r="K80" s="3">
        <v>21865000</v>
      </c>
      <c r="L80" s="3">
        <v>26573000</v>
      </c>
      <c r="M80" s="3">
        <v>33196000</v>
      </c>
      <c r="N80" s="3">
        <v>25650000</v>
      </c>
      <c r="O80" s="4">
        <v>33300000</v>
      </c>
      <c r="P80" s="3">
        <v>25650000</v>
      </c>
      <c r="Q80" s="3">
        <v>27538000</v>
      </c>
      <c r="R80" s="3">
        <v>30812000</v>
      </c>
      <c r="S80" s="3">
        <v>33300000</v>
      </c>
    </row>
    <row r="81" spans="1:19" ht="16" x14ac:dyDescent="0.2">
      <c r="A81" s="2" t="s">
        <v>90</v>
      </c>
      <c r="B81" s="3">
        <v>15441000</v>
      </c>
      <c r="C81" s="3">
        <v>15104000</v>
      </c>
      <c r="D81" s="3">
        <v>16500000</v>
      </c>
      <c r="E81" s="3">
        <v>18140000</v>
      </c>
      <c r="F81" s="3">
        <v>19784000</v>
      </c>
      <c r="G81" s="3">
        <v>20525000</v>
      </c>
      <c r="H81" s="3">
        <v>21936000</v>
      </c>
      <c r="I81" s="3">
        <v>25515000</v>
      </c>
      <c r="J81" s="3">
        <v>19756000</v>
      </c>
      <c r="K81" s="3">
        <v>21865000</v>
      </c>
      <c r="L81" s="3">
        <v>26573000</v>
      </c>
      <c r="M81" s="3">
        <v>33196000</v>
      </c>
      <c r="N81" s="3">
        <v>25650000</v>
      </c>
      <c r="O81" s="4">
        <v>33300000</v>
      </c>
      <c r="P81" s="3">
        <v>25650000</v>
      </c>
      <c r="Q81" s="3">
        <v>27538000</v>
      </c>
      <c r="R81" s="3">
        <v>30812000</v>
      </c>
      <c r="S81" s="3">
        <v>33300000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730125000</v>
      </c>
      <c r="C83" s="3">
        <v>716866000</v>
      </c>
      <c r="D83" s="3">
        <v>841706000</v>
      </c>
      <c r="E83" s="3">
        <v>849064000</v>
      </c>
      <c r="F83" s="3">
        <v>847310000</v>
      </c>
      <c r="G83" s="3">
        <v>884828000</v>
      </c>
      <c r="H83" s="3">
        <v>886356000</v>
      </c>
      <c r="I83" s="3">
        <v>878471000</v>
      </c>
      <c r="J83" s="3">
        <v>847974000</v>
      </c>
      <c r="K83" s="3">
        <v>902850000</v>
      </c>
      <c r="L83" s="3">
        <v>1056214000</v>
      </c>
      <c r="M83" s="3">
        <v>1005471000</v>
      </c>
      <c r="N83" s="3">
        <v>972232000</v>
      </c>
      <c r="O83" s="4">
        <v>1027810000</v>
      </c>
      <c r="P83" s="3">
        <v>972232000</v>
      </c>
      <c r="Q83" s="3">
        <v>899991000</v>
      </c>
      <c r="R83" s="3">
        <v>1006792000</v>
      </c>
      <c r="S83" s="3">
        <v>1027810000</v>
      </c>
    </row>
    <row r="84" spans="1:19" ht="16" x14ac:dyDescent="0.2">
      <c r="A84" s="2" t="s">
        <v>93</v>
      </c>
      <c r="B84" s="3">
        <v>693197000</v>
      </c>
      <c r="C84" s="3">
        <v>684186000</v>
      </c>
      <c r="D84" s="3">
        <v>809803000</v>
      </c>
      <c r="E84" s="3">
        <v>831292000</v>
      </c>
      <c r="F84" s="3">
        <v>827842000</v>
      </c>
      <c r="G84" s="3">
        <v>862071000</v>
      </c>
      <c r="H84" s="3">
        <v>832034000</v>
      </c>
      <c r="I84" s="3">
        <v>825599000</v>
      </c>
      <c r="J84" s="3">
        <v>815426000</v>
      </c>
      <c r="K84" s="3">
        <v>817681000</v>
      </c>
      <c r="L84" s="3">
        <v>821600000</v>
      </c>
      <c r="M84" s="3">
        <v>792284000</v>
      </c>
      <c r="N84" s="3">
        <v>763084000</v>
      </c>
      <c r="O84" s="4">
        <v>777812000</v>
      </c>
      <c r="P84" s="3">
        <v>763084000</v>
      </c>
      <c r="Q84" s="3">
        <v>773197000</v>
      </c>
      <c r="R84" s="3">
        <v>775797000</v>
      </c>
      <c r="S84" s="3">
        <v>777812000</v>
      </c>
    </row>
    <row r="85" spans="1:19" ht="16" x14ac:dyDescent="0.2">
      <c r="A85" s="2" t="s">
        <v>94</v>
      </c>
      <c r="B85" s="3">
        <v>665953000</v>
      </c>
      <c r="C85" s="3">
        <v>664688000</v>
      </c>
      <c r="D85" s="3">
        <v>757504000</v>
      </c>
      <c r="E85" s="3">
        <v>773931000</v>
      </c>
      <c r="F85" s="3">
        <v>779928000</v>
      </c>
      <c r="G85" s="3">
        <v>814750000</v>
      </c>
      <c r="H85" s="3">
        <v>798415000</v>
      </c>
      <c r="I85" s="3">
        <v>804414000</v>
      </c>
      <c r="J85" s="3">
        <v>800890000</v>
      </c>
      <c r="K85" s="3">
        <v>803542000</v>
      </c>
      <c r="L85" s="3">
        <v>812364000</v>
      </c>
      <c r="M85" s="3">
        <v>788185000</v>
      </c>
      <c r="N85" s="3">
        <v>761067000</v>
      </c>
      <c r="O85" s="4">
        <v>776620000</v>
      </c>
      <c r="P85" s="3">
        <v>761067000</v>
      </c>
      <c r="Q85" s="3">
        <v>771455000</v>
      </c>
      <c r="R85" s="3">
        <v>774330000</v>
      </c>
      <c r="S85" s="3">
        <v>776620000</v>
      </c>
    </row>
    <row r="86" spans="1:19" ht="16" x14ac:dyDescent="0.2">
      <c r="A86" s="2" t="s">
        <v>95</v>
      </c>
      <c r="B86" s="3">
        <v>27244000</v>
      </c>
      <c r="C86" s="3">
        <v>19498000</v>
      </c>
      <c r="D86" s="3">
        <v>52299000</v>
      </c>
      <c r="E86" s="3">
        <v>57361000</v>
      </c>
      <c r="F86" s="3">
        <v>47914000</v>
      </c>
      <c r="G86" s="3">
        <v>47321000</v>
      </c>
      <c r="H86" s="3">
        <v>33619000</v>
      </c>
      <c r="I86" s="3">
        <v>21185000</v>
      </c>
      <c r="J86" s="3">
        <v>14536000</v>
      </c>
      <c r="K86" s="3">
        <v>14139000</v>
      </c>
      <c r="L86" s="3">
        <v>9236000</v>
      </c>
      <c r="M86" s="3">
        <v>4099000</v>
      </c>
      <c r="N86" s="3">
        <v>2017000</v>
      </c>
      <c r="O86" s="4">
        <v>1192000</v>
      </c>
      <c r="P86" s="3">
        <v>2017000</v>
      </c>
      <c r="Q86" s="3">
        <v>1742000</v>
      </c>
      <c r="R86" s="3">
        <v>1467000</v>
      </c>
      <c r="S86" s="3">
        <v>1192000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36928000</v>
      </c>
      <c r="C89" s="3">
        <v>32680000</v>
      </c>
      <c r="D89" s="3">
        <v>31903000</v>
      </c>
      <c r="E89" s="3">
        <v>17772000</v>
      </c>
      <c r="F89" s="3">
        <v>19468000</v>
      </c>
      <c r="G89" s="3">
        <v>22757000</v>
      </c>
      <c r="H89" s="3">
        <v>54322000</v>
      </c>
      <c r="I89" s="3">
        <v>52872000</v>
      </c>
      <c r="J89" s="3">
        <v>32548000</v>
      </c>
      <c r="K89" s="3">
        <v>85169000</v>
      </c>
      <c r="L89" s="3">
        <v>234614000</v>
      </c>
      <c r="M89" s="3">
        <v>213187000</v>
      </c>
      <c r="N89" s="3">
        <v>209148000</v>
      </c>
      <c r="O89" s="4">
        <v>249998000</v>
      </c>
      <c r="P89" s="3">
        <v>209148000</v>
      </c>
      <c r="Q89" s="3">
        <v>126794000</v>
      </c>
      <c r="R89" s="3">
        <v>230995000</v>
      </c>
      <c r="S89" s="3">
        <v>249998000</v>
      </c>
    </row>
    <row r="90" spans="1:19" ht="16" x14ac:dyDescent="0.2">
      <c r="A90" s="2" t="s">
        <v>99</v>
      </c>
      <c r="B90" s="3">
        <v>1123716000</v>
      </c>
      <c r="C90" s="3">
        <v>1129468000</v>
      </c>
      <c r="D90" s="3">
        <v>1158611000</v>
      </c>
      <c r="E90" s="3">
        <v>1161547000</v>
      </c>
      <c r="F90" s="3">
        <v>1192298000</v>
      </c>
      <c r="G90" s="3">
        <v>1230163000</v>
      </c>
      <c r="H90" s="3">
        <v>1221052000</v>
      </c>
      <c r="I90" s="3">
        <v>1255620000</v>
      </c>
      <c r="J90" s="3">
        <v>1255079000</v>
      </c>
      <c r="K90" s="3">
        <v>1433448000</v>
      </c>
      <c r="L90" s="3">
        <v>1606240000</v>
      </c>
      <c r="M90" s="3">
        <v>1567776000</v>
      </c>
      <c r="N90" s="3">
        <v>1442034000</v>
      </c>
      <c r="O90" s="4">
        <v>1584569000</v>
      </c>
      <c r="P90" s="3">
        <v>1442034000</v>
      </c>
      <c r="Q90" s="3">
        <v>1458693000</v>
      </c>
      <c r="R90" s="3">
        <v>1502431000</v>
      </c>
      <c r="S90" s="3">
        <v>1584569000</v>
      </c>
    </row>
    <row r="91" spans="1:19" ht="16" x14ac:dyDescent="0.2">
      <c r="A91" s="2" t="s">
        <v>100</v>
      </c>
      <c r="B91" s="3">
        <v>71194000</v>
      </c>
      <c r="C91" s="3">
        <v>60260000</v>
      </c>
      <c r="D91" s="3">
        <v>62603000</v>
      </c>
      <c r="E91" s="3">
        <v>54418000</v>
      </c>
      <c r="F91" s="3">
        <v>58235000</v>
      </c>
      <c r="G91" s="3">
        <v>50810000</v>
      </c>
      <c r="H91" s="3">
        <v>50732000</v>
      </c>
      <c r="I91" s="3">
        <v>51614000</v>
      </c>
      <c r="J91" s="3">
        <v>50708000</v>
      </c>
      <c r="K91" s="3">
        <v>55572000</v>
      </c>
      <c r="L91" s="3">
        <v>86400000</v>
      </c>
      <c r="M91" s="3">
        <v>100284000</v>
      </c>
      <c r="N91" s="3">
        <v>83521000</v>
      </c>
      <c r="O91" s="4">
        <v>67101000</v>
      </c>
      <c r="P91" s="3">
        <v>83521000</v>
      </c>
      <c r="Q91" s="3">
        <v>49856000</v>
      </c>
      <c r="R91" s="3">
        <v>82067000</v>
      </c>
      <c r="S91" s="3">
        <v>67101000</v>
      </c>
    </row>
    <row r="92" spans="1:19" ht="16" x14ac:dyDescent="0.2">
      <c r="A92" s="2" t="s">
        <v>101</v>
      </c>
      <c r="B92" s="3">
        <v>8765000</v>
      </c>
      <c r="C92" s="3">
        <v>11139000</v>
      </c>
      <c r="D92" s="3">
        <v>62603000</v>
      </c>
      <c r="E92" s="3">
        <v>54418000</v>
      </c>
      <c r="F92" s="3">
        <v>58235000</v>
      </c>
      <c r="G92" s="3">
        <v>50810000</v>
      </c>
      <c r="H92" s="3">
        <v>50732000</v>
      </c>
      <c r="I92" s="3">
        <v>51614000</v>
      </c>
      <c r="J92" s="3">
        <v>50708000</v>
      </c>
      <c r="K92" s="3">
        <v>55572000</v>
      </c>
      <c r="L92" s="3">
        <v>86400000</v>
      </c>
      <c r="M92" s="3">
        <v>100284000</v>
      </c>
      <c r="N92" s="3">
        <v>83521000</v>
      </c>
      <c r="O92" s="4">
        <v>16787000</v>
      </c>
      <c r="P92" s="3">
        <v>83521000</v>
      </c>
      <c r="Q92" s="3">
        <v>16838000</v>
      </c>
      <c r="R92" s="3">
        <v>82067000</v>
      </c>
      <c r="S92" s="3">
        <v>16787000</v>
      </c>
    </row>
    <row r="93" spans="1:19" ht="16" x14ac:dyDescent="0.2">
      <c r="A93" s="2" t="s">
        <v>102</v>
      </c>
      <c r="B93" s="3" t="s">
        <v>24</v>
      </c>
      <c r="C93" s="3">
        <v>15588000</v>
      </c>
      <c r="D93" s="3">
        <v>11754000</v>
      </c>
      <c r="E93" s="3">
        <v>6821000</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62429000</v>
      </c>
      <c r="C95" s="3">
        <v>33533000</v>
      </c>
      <c r="D95" s="3">
        <v>-11754000</v>
      </c>
      <c r="E95" s="3">
        <v>-6821000</v>
      </c>
      <c r="F95" s="3" t="s">
        <v>24</v>
      </c>
      <c r="G95" s="3" t="s">
        <v>24</v>
      </c>
      <c r="H95" s="3" t="s">
        <v>24</v>
      </c>
      <c r="I95" s="3" t="s">
        <v>24</v>
      </c>
      <c r="J95" s="3" t="s">
        <v>24</v>
      </c>
      <c r="K95" s="3" t="s">
        <v>24</v>
      </c>
      <c r="L95" s="3" t="s">
        <v>24</v>
      </c>
      <c r="M95" s="3" t="s">
        <v>24</v>
      </c>
      <c r="N95" s="3" t="s">
        <v>24</v>
      </c>
      <c r="O95" s="4">
        <v>50314000</v>
      </c>
      <c r="P95" s="3" t="s">
        <v>24</v>
      </c>
      <c r="Q95" s="3">
        <v>33018000</v>
      </c>
      <c r="R95" s="3" t="s">
        <v>24</v>
      </c>
      <c r="S95" s="3">
        <v>50314000</v>
      </c>
    </row>
    <row r="96" spans="1:19" ht="16" x14ac:dyDescent="0.2">
      <c r="A96" s="2" t="s">
        <v>105</v>
      </c>
      <c r="B96" s="3">
        <v>8000000</v>
      </c>
      <c r="C96" s="3">
        <v>8000000</v>
      </c>
      <c r="D96" s="3">
        <v>49000000</v>
      </c>
      <c r="E96" s="3">
        <v>23000000</v>
      </c>
      <c r="F96" s="3">
        <v>170000000</v>
      </c>
      <c r="G96" s="3">
        <v>92000000</v>
      </c>
      <c r="H96" s="3">
        <v>77000000</v>
      </c>
      <c r="I96" s="3">
        <v>142000000</v>
      </c>
      <c r="J96" s="3">
        <v>235000000</v>
      </c>
      <c r="K96" s="3">
        <v>218000000</v>
      </c>
      <c r="L96" s="3">
        <v>95000000</v>
      </c>
      <c r="M96" s="3">
        <v>250000000</v>
      </c>
      <c r="N96" s="3">
        <v>30000000</v>
      </c>
      <c r="O96" s="4">
        <v>115000000</v>
      </c>
      <c r="P96" s="3">
        <v>30000000</v>
      </c>
      <c r="Q96" s="3">
        <v>118360000</v>
      </c>
      <c r="R96" s="3">
        <v>107000000</v>
      </c>
      <c r="S96" s="3">
        <v>115000000</v>
      </c>
    </row>
    <row r="97" spans="1:19" ht="16" x14ac:dyDescent="0.2">
      <c r="A97" s="2" t="s">
        <v>106</v>
      </c>
      <c r="B97" s="3">
        <v>8000000</v>
      </c>
      <c r="C97" s="3">
        <v>8000000</v>
      </c>
      <c r="D97" s="3">
        <v>49000000</v>
      </c>
      <c r="E97" s="3">
        <v>23000000</v>
      </c>
      <c r="F97" s="3">
        <v>170000000</v>
      </c>
      <c r="G97" s="3">
        <v>92000000</v>
      </c>
      <c r="H97" s="3">
        <v>77000000</v>
      </c>
      <c r="I97" s="3">
        <v>142000000</v>
      </c>
      <c r="J97" s="3">
        <v>235000000</v>
      </c>
      <c r="K97" s="3">
        <v>218000000</v>
      </c>
      <c r="L97" s="3">
        <v>95000000</v>
      </c>
      <c r="M97" s="3">
        <v>250000000</v>
      </c>
      <c r="N97" s="3">
        <v>30000000</v>
      </c>
      <c r="O97" s="4">
        <v>115000000</v>
      </c>
      <c r="P97" s="3">
        <v>30000000</v>
      </c>
      <c r="Q97" s="3">
        <v>100000000</v>
      </c>
      <c r="R97" s="3">
        <v>107000000</v>
      </c>
      <c r="S97" s="3">
        <v>115000000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v>22074000</v>
      </c>
      <c r="N98" s="3">
        <v>19369000</v>
      </c>
      <c r="O98" s="4">
        <v>17713000</v>
      </c>
      <c r="P98" s="3">
        <v>19369000</v>
      </c>
      <c r="Q98" s="3">
        <v>18360000</v>
      </c>
      <c r="R98" s="3">
        <v>17972000</v>
      </c>
      <c r="S98" s="3">
        <v>17713000</v>
      </c>
    </row>
    <row r="99" spans="1:19" ht="16" x14ac:dyDescent="0.2">
      <c r="A99" s="2" t="s">
        <v>108</v>
      </c>
      <c r="B99" s="3">
        <v>42953000</v>
      </c>
      <c r="C99" s="3">
        <v>78238000</v>
      </c>
      <c r="D99" s="3">
        <v>98002000</v>
      </c>
      <c r="E99" s="3">
        <v>88462000</v>
      </c>
      <c r="F99" s="3">
        <v>113169000</v>
      </c>
      <c r="G99" s="3">
        <v>101065000</v>
      </c>
      <c r="H99" s="3">
        <v>118345000</v>
      </c>
      <c r="I99" s="3">
        <v>133041000</v>
      </c>
      <c r="J99" s="3">
        <v>136507000</v>
      </c>
      <c r="K99" s="3">
        <v>217256000</v>
      </c>
      <c r="L99" s="3">
        <v>233111000</v>
      </c>
      <c r="M99" s="3">
        <v>208923000</v>
      </c>
      <c r="N99" s="3">
        <v>217938000</v>
      </c>
      <c r="O99" s="4">
        <v>210845000</v>
      </c>
      <c r="P99" s="3">
        <v>217938000</v>
      </c>
      <c r="Q99" s="3">
        <v>186772000</v>
      </c>
      <c r="R99" s="3">
        <v>184211000</v>
      </c>
      <c r="S99" s="3">
        <v>210845000</v>
      </c>
    </row>
    <row r="100" spans="1:19" ht="16" x14ac:dyDescent="0.2">
      <c r="A100" s="2" t="s">
        <v>109</v>
      </c>
      <c r="B100" s="3">
        <v>42953000</v>
      </c>
      <c r="C100" s="3">
        <v>41768000</v>
      </c>
      <c r="D100" s="3">
        <v>47959000</v>
      </c>
      <c r="E100" s="3">
        <v>49181000</v>
      </c>
      <c r="F100" s="3">
        <v>56519000</v>
      </c>
      <c r="G100" s="3">
        <v>46697000</v>
      </c>
      <c r="H100" s="3">
        <v>47129000</v>
      </c>
      <c r="I100" s="3">
        <v>55431000</v>
      </c>
      <c r="J100" s="3">
        <v>52215000</v>
      </c>
      <c r="K100" s="3">
        <v>111016000</v>
      </c>
      <c r="L100" s="3">
        <v>115159000</v>
      </c>
      <c r="M100" s="3">
        <v>105417000</v>
      </c>
      <c r="N100" s="3">
        <v>120045000</v>
      </c>
      <c r="O100" s="4">
        <v>127299000</v>
      </c>
      <c r="P100" s="3">
        <v>120045000</v>
      </c>
      <c r="Q100" s="3">
        <v>126896000</v>
      </c>
      <c r="R100" s="3">
        <v>118348000</v>
      </c>
      <c r="S100" s="3">
        <v>127299000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2090000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34380000</v>
      </c>
      <c r="D103" s="3">
        <v>50043000</v>
      </c>
      <c r="E103" s="3">
        <v>39281000</v>
      </c>
      <c r="F103" s="3">
        <v>56650000</v>
      </c>
      <c r="G103" s="3">
        <v>54368000</v>
      </c>
      <c r="H103" s="3">
        <v>71216000</v>
      </c>
      <c r="I103" s="3">
        <v>77610000</v>
      </c>
      <c r="J103" s="3">
        <v>84292000</v>
      </c>
      <c r="K103" s="3">
        <v>106240000</v>
      </c>
      <c r="L103" s="3">
        <v>117952000</v>
      </c>
      <c r="M103" s="3">
        <v>103506000</v>
      </c>
      <c r="N103" s="3">
        <v>97893000</v>
      </c>
      <c r="O103" s="4">
        <v>83546000</v>
      </c>
      <c r="P103" s="3">
        <v>97893000</v>
      </c>
      <c r="Q103" s="3">
        <v>59876000</v>
      </c>
      <c r="R103" s="3">
        <v>65863000</v>
      </c>
      <c r="S103" s="3">
        <v>83546000</v>
      </c>
    </row>
    <row r="104" spans="1:19" ht="16" x14ac:dyDescent="0.2">
      <c r="A104" s="2" t="s">
        <v>113</v>
      </c>
      <c r="B104" s="3">
        <v>122147000</v>
      </c>
      <c r="C104" s="3">
        <v>146498000</v>
      </c>
      <c r="D104" s="3">
        <v>209605000</v>
      </c>
      <c r="E104" s="3">
        <v>165880000</v>
      </c>
      <c r="F104" s="3">
        <v>341404000</v>
      </c>
      <c r="G104" s="3">
        <v>243875000</v>
      </c>
      <c r="H104" s="3">
        <v>246077000</v>
      </c>
      <c r="I104" s="3">
        <v>326655000</v>
      </c>
      <c r="J104" s="3">
        <v>422215000</v>
      </c>
      <c r="K104" s="3">
        <v>490828000</v>
      </c>
      <c r="L104" s="3">
        <v>414511000</v>
      </c>
      <c r="M104" s="3">
        <v>559207000</v>
      </c>
      <c r="N104" s="3">
        <v>331459000</v>
      </c>
      <c r="O104" s="4">
        <v>392946000</v>
      </c>
      <c r="P104" s="3">
        <v>331459000</v>
      </c>
      <c r="Q104" s="3">
        <v>354988000</v>
      </c>
      <c r="R104" s="3">
        <v>373278000</v>
      </c>
      <c r="S104" s="3">
        <v>392946000</v>
      </c>
    </row>
    <row r="105" spans="1:19" ht="16" x14ac:dyDescent="0.2">
      <c r="A105" s="2" t="s">
        <v>114</v>
      </c>
      <c r="B105" s="3">
        <v>512000000</v>
      </c>
      <c r="C105" s="3">
        <v>504000000</v>
      </c>
      <c r="D105" s="3">
        <v>455000000</v>
      </c>
      <c r="E105" s="3">
        <v>447000000</v>
      </c>
      <c r="F105" s="3">
        <v>376000000</v>
      </c>
      <c r="G105" s="3">
        <v>516000000</v>
      </c>
      <c r="H105" s="3">
        <v>494000000</v>
      </c>
      <c r="I105" s="3">
        <v>462801000</v>
      </c>
      <c r="J105" s="3">
        <v>528944000</v>
      </c>
      <c r="K105" s="3">
        <v>606790000</v>
      </c>
      <c r="L105" s="3">
        <v>812642000</v>
      </c>
      <c r="M105" s="3">
        <v>1062688000</v>
      </c>
      <c r="N105" s="3">
        <v>1862861000</v>
      </c>
      <c r="O105" s="4">
        <v>1839279000</v>
      </c>
      <c r="P105" s="3">
        <v>1862861000</v>
      </c>
      <c r="Q105" s="3">
        <v>1853066000</v>
      </c>
      <c r="R105" s="3">
        <v>1846488000</v>
      </c>
      <c r="S105" s="3">
        <v>1839279000</v>
      </c>
    </row>
    <row r="106" spans="1:19" ht="16" x14ac:dyDescent="0.2">
      <c r="A106" s="2" t="s">
        <v>115</v>
      </c>
      <c r="B106" s="3">
        <v>512000000</v>
      </c>
      <c r="C106" s="3">
        <v>504000000</v>
      </c>
      <c r="D106" s="3">
        <v>455000000</v>
      </c>
      <c r="E106" s="3">
        <v>447000000</v>
      </c>
      <c r="F106" s="3">
        <v>376000000</v>
      </c>
      <c r="G106" s="3">
        <v>516000000</v>
      </c>
      <c r="H106" s="3">
        <v>494000000</v>
      </c>
      <c r="I106" s="3">
        <v>462801000</v>
      </c>
      <c r="J106" s="3">
        <v>528944000</v>
      </c>
      <c r="K106" s="3">
        <v>606790000</v>
      </c>
      <c r="L106" s="3">
        <v>739435000</v>
      </c>
      <c r="M106" s="3">
        <v>1009018000</v>
      </c>
      <c r="N106" s="3">
        <v>1823669000</v>
      </c>
      <c r="O106" s="4">
        <v>1814660000</v>
      </c>
      <c r="P106" s="3">
        <v>1823669000</v>
      </c>
      <c r="Q106" s="3">
        <v>1820666000</v>
      </c>
      <c r="R106" s="3">
        <v>1817663000</v>
      </c>
      <c r="S106" s="3">
        <v>1814660000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v>73207000</v>
      </c>
      <c r="M107" s="3">
        <v>53670000</v>
      </c>
      <c r="N107" s="3">
        <v>39192000</v>
      </c>
      <c r="O107" s="4">
        <v>24619000</v>
      </c>
      <c r="P107" s="3">
        <v>39192000</v>
      </c>
      <c r="Q107" s="3">
        <v>32400000</v>
      </c>
      <c r="R107" s="3">
        <v>28825000</v>
      </c>
      <c r="S107" s="3">
        <v>24619000</v>
      </c>
    </row>
    <row r="108" spans="1:19" ht="16" x14ac:dyDescent="0.2">
      <c r="A108" s="2" t="s">
        <v>117</v>
      </c>
      <c r="B108" s="3">
        <v>14655000</v>
      </c>
      <c r="C108" s="3">
        <v>13476000</v>
      </c>
      <c r="D108" s="3">
        <v>19600000</v>
      </c>
      <c r="E108" s="3">
        <v>17990000</v>
      </c>
      <c r="F108" s="3">
        <v>20280000</v>
      </c>
      <c r="G108" s="3">
        <v>33290000</v>
      </c>
      <c r="H108" s="3">
        <v>34147000</v>
      </c>
      <c r="I108" s="3">
        <v>39627000</v>
      </c>
      <c r="J108" s="3">
        <v>40183000</v>
      </c>
      <c r="K108" s="3">
        <v>46063000</v>
      </c>
      <c r="L108" s="3">
        <v>48005000</v>
      </c>
      <c r="M108" s="3">
        <v>56823000</v>
      </c>
      <c r="N108" s="3">
        <v>49661000</v>
      </c>
      <c r="O108" s="4">
        <v>56320000</v>
      </c>
      <c r="P108" s="3">
        <v>49661000</v>
      </c>
      <c r="Q108" s="3">
        <v>52734000</v>
      </c>
      <c r="R108" s="3">
        <v>53458000</v>
      </c>
      <c r="S108" s="3">
        <v>56320000</v>
      </c>
    </row>
    <row r="109" spans="1:19" ht="16" x14ac:dyDescent="0.2">
      <c r="A109" s="2" t="s">
        <v>118</v>
      </c>
      <c r="B109" s="3" t="s">
        <v>24</v>
      </c>
      <c r="C109" s="3" t="s">
        <v>24</v>
      </c>
      <c r="D109" s="3" t="s">
        <v>24</v>
      </c>
      <c r="E109" s="3" t="s">
        <v>24</v>
      </c>
      <c r="F109" s="3" t="s">
        <v>24</v>
      </c>
      <c r="G109" s="3" t="s">
        <v>24</v>
      </c>
      <c r="H109" s="3" t="s">
        <v>24</v>
      </c>
      <c r="I109" s="3" t="s">
        <v>24</v>
      </c>
      <c r="J109" s="3" t="s">
        <v>24</v>
      </c>
      <c r="K109" s="3" t="s">
        <v>24</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14655000</v>
      </c>
      <c r="C114" s="3">
        <v>13476000</v>
      </c>
      <c r="D114" s="3">
        <v>19600000</v>
      </c>
      <c r="E114" s="3">
        <v>17990000</v>
      </c>
      <c r="F114" s="3">
        <v>20280000</v>
      </c>
      <c r="G114" s="3">
        <v>33290000</v>
      </c>
      <c r="H114" s="3">
        <v>34147000</v>
      </c>
      <c r="I114" s="3">
        <v>39627000</v>
      </c>
      <c r="J114" s="3">
        <v>40183000</v>
      </c>
      <c r="K114" s="3">
        <v>46063000</v>
      </c>
      <c r="L114" s="3">
        <v>48005000</v>
      </c>
      <c r="M114" s="3">
        <v>56823000</v>
      </c>
      <c r="N114" s="3">
        <v>49661000</v>
      </c>
      <c r="O114" s="4">
        <v>56320000</v>
      </c>
      <c r="P114" s="3">
        <v>49661000</v>
      </c>
      <c r="Q114" s="3">
        <v>52734000</v>
      </c>
      <c r="R114" s="3">
        <v>53458000</v>
      </c>
      <c r="S114" s="3">
        <v>56320000</v>
      </c>
    </row>
    <row r="115" spans="1:19" ht="16" x14ac:dyDescent="0.2">
      <c r="A115" s="2" t="s">
        <v>121</v>
      </c>
      <c r="B115" s="3">
        <v>526655000</v>
      </c>
      <c r="C115" s="3">
        <v>517476000</v>
      </c>
      <c r="D115" s="3">
        <v>474600000</v>
      </c>
      <c r="E115" s="3">
        <v>464990000</v>
      </c>
      <c r="F115" s="3">
        <v>396280000</v>
      </c>
      <c r="G115" s="3">
        <v>549290000</v>
      </c>
      <c r="H115" s="3">
        <v>528147000</v>
      </c>
      <c r="I115" s="3">
        <v>502428000</v>
      </c>
      <c r="J115" s="3">
        <v>569127000</v>
      </c>
      <c r="K115" s="3">
        <v>652853000</v>
      </c>
      <c r="L115" s="3">
        <v>860647000</v>
      </c>
      <c r="M115" s="3">
        <v>1119511000</v>
      </c>
      <c r="N115" s="3">
        <v>1912522000</v>
      </c>
      <c r="O115" s="4">
        <v>1895599000</v>
      </c>
      <c r="P115" s="3">
        <v>1912522000</v>
      </c>
      <c r="Q115" s="3">
        <v>1905800000</v>
      </c>
      <c r="R115" s="3">
        <v>1899946000</v>
      </c>
      <c r="S115" s="3">
        <v>1895599000</v>
      </c>
    </row>
    <row r="116" spans="1:19" ht="16" x14ac:dyDescent="0.2">
      <c r="A116" s="2" t="s">
        <v>122</v>
      </c>
      <c r="B116" s="3">
        <v>648802000</v>
      </c>
      <c r="C116" s="3">
        <v>663974000</v>
      </c>
      <c r="D116" s="3">
        <v>684205000</v>
      </c>
      <c r="E116" s="3">
        <v>630870000</v>
      </c>
      <c r="F116" s="3">
        <v>737684000</v>
      </c>
      <c r="G116" s="3">
        <v>793165000</v>
      </c>
      <c r="H116" s="3">
        <v>774224000</v>
      </c>
      <c r="I116" s="3">
        <v>829083000</v>
      </c>
      <c r="J116" s="3">
        <v>991342000</v>
      </c>
      <c r="K116" s="3">
        <v>1143681000</v>
      </c>
      <c r="L116" s="3">
        <v>1275158000</v>
      </c>
      <c r="M116" s="3">
        <v>1678718000</v>
      </c>
      <c r="N116" s="3">
        <v>2243981000</v>
      </c>
      <c r="O116" s="4">
        <v>2288545000</v>
      </c>
      <c r="P116" s="3">
        <v>2243981000</v>
      </c>
      <c r="Q116" s="3">
        <v>2260788000</v>
      </c>
      <c r="R116" s="3">
        <v>2273224000</v>
      </c>
      <c r="S116" s="3">
        <v>2288545000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1103643000</v>
      </c>
      <c r="C118" s="3">
        <v>1098759000</v>
      </c>
      <c r="D118" s="3">
        <v>1103959000</v>
      </c>
      <c r="E118" s="3">
        <v>1110546000</v>
      </c>
      <c r="F118" s="3">
        <v>1129637000</v>
      </c>
      <c r="G118" s="3">
        <v>1153102000</v>
      </c>
      <c r="H118" s="3">
        <v>1185385000</v>
      </c>
      <c r="I118" s="3">
        <v>1195733000</v>
      </c>
      <c r="J118" s="3">
        <v>1211341000</v>
      </c>
      <c r="K118" s="3">
        <v>1225654000</v>
      </c>
      <c r="L118" s="3">
        <v>1218874000</v>
      </c>
      <c r="M118" s="3">
        <v>1237624000</v>
      </c>
      <c r="N118" s="3">
        <v>1299840000</v>
      </c>
      <c r="O118" s="4">
        <v>1312639000</v>
      </c>
      <c r="P118" s="3">
        <v>1299840000</v>
      </c>
      <c r="Q118" s="3">
        <v>1244523000</v>
      </c>
      <c r="R118" s="3">
        <v>1281520000</v>
      </c>
      <c r="S118" s="3">
        <v>1312639000</v>
      </c>
    </row>
    <row r="119" spans="1:19" ht="16" x14ac:dyDescent="0.2">
      <c r="A119" s="2" t="s">
        <v>125</v>
      </c>
      <c r="B119" s="3">
        <v>399000</v>
      </c>
      <c r="C119" s="3">
        <v>371000</v>
      </c>
      <c r="D119" s="3">
        <v>348000</v>
      </c>
      <c r="E119" s="3">
        <v>348000</v>
      </c>
      <c r="F119" s="3">
        <v>320000</v>
      </c>
      <c r="G119" s="3">
        <v>313000</v>
      </c>
      <c r="H119" s="3">
        <v>309000</v>
      </c>
      <c r="I119" s="3">
        <v>302000</v>
      </c>
      <c r="J119" s="3">
        <v>290000</v>
      </c>
      <c r="K119" s="3">
        <v>289000</v>
      </c>
      <c r="L119" s="3">
        <v>291000</v>
      </c>
      <c r="M119" s="3">
        <v>276000</v>
      </c>
      <c r="N119" s="3">
        <v>252000</v>
      </c>
      <c r="O119" s="4">
        <v>249000</v>
      </c>
      <c r="P119" s="3">
        <v>252000</v>
      </c>
      <c r="Q119" s="3">
        <v>252000</v>
      </c>
      <c r="R119" s="3">
        <v>250000</v>
      </c>
      <c r="S119" s="3">
        <v>249000</v>
      </c>
    </row>
    <row r="120" spans="1:19" ht="16" x14ac:dyDescent="0.2">
      <c r="A120" s="2" t="s">
        <v>126</v>
      </c>
      <c r="B120" s="3">
        <v>1103244000</v>
      </c>
      <c r="C120" s="3">
        <v>1098388000</v>
      </c>
      <c r="D120" s="3">
        <v>1103611000</v>
      </c>
      <c r="E120" s="3">
        <v>1110198000</v>
      </c>
      <c r="F120" s="3">
        <v>1129317000</v>
      </c>
      <c r="G120" s="3">
        <v>1152789000</v>
      </c>
      <c r="H120" s="3">
        <v>1185076000</v>
      </c>
      <c r="I120" s="3">
        <v>1195431000</v>
      </c>
      <c r="J120" s="3">
        <v>1211051000</v>
      </c>
      <c r="K120" s="3">
        <v>1225365000</v>
      </c>
      <c r="L120" s="3">
        <v>1218583000</v>
      </c>
      <c r="M120" s="3">
        <v>1237348000</v>
      </c>
      <c r="N120" s="3">
        <v>1299588000</v>
      </c>
      <c r="O120" s="4">
        <v>1312390000</v>
      </c>
      <c r="P120" s="3">
        <v>1299588000</v>
      </c>
      <c r="Q120" s="3">
        <v>1244271000</v>
      </c>
      <c r="R120" s="3">
        <v>1281270000</v>
      </c>
      <c r="S120" s="3">
        <v>1312390000</v>
      </c>
    </row>
    <row r="121" spans="1:19" ht="16" x14ac:dyDescent="0.2">
      <c r="A121" s="2" t="s">
        <v>127</v>
      </c>
      <c r="B121" s="3">
        <v>1556253000</v>
      </c>
      <c r="C121" s="3">
        <v>1627180000</v>
      </c>
      <c r="D121" s="3">
        <v>1718570000</v>
      </c>
      <c r="E121" s="3">
        <v>1751057000</v>
      </c>
      <c r="F121" s="3">
        <v>1936095000</v>
      </c>
      <c r="G121" s="3">
        <v>2033644000</v>
      </c>
      <c r="H121" s="3">
        <v>2136760000</v>
      </c>
      <c r="I121" s="3">
        <v>2301097000</v>
      </c>
      <c r="J121" s="3">
        <v>2612007000</v>
      </c>
      <c r="K121" s="3">
        <v>2802450000</v>
      </c>
      <c r="L121" s="3">
        <v>2997856000</v>
      </c>
      <c r="M121" s="3">
        <v>3857855000</v>
      </c>
      <c r="N121" s="3">
        <v>4935769000</v>
      </c>
      <c r="O121" s="4">
        <v>5208553000</v>
      </c>
      <c r="P121" s="3">
        <v>4935769000</v>
      </c>
      <c r="Q121" s="3">
        <v>4996624000</v>
      </c>
      <c r="R121" s="3">
        <v>5110421000</v>
      </c>
      <c r="S121" s="3">
        <v>5208553000</v>
      </c>
    </row>
    <row r="122" spans="1:19" ht="16" x14ac:dyDescent="0.2">
      <c r="A122" s="2" t="s">
        <v>128</v>
      </c>
      <c r="B122" s="3">
        <v>947202000</v>
      </c>
      <c r="C122" s="3">
        <v>1015624000</v>
      </c>
      <c r="D122" s="3">
        <v>1104825000</v>
      </c>
      <c r="E122" s="3">
        <v>1192096000</v>
      </c>
      <c r="F122" s="3">
        <v>1284261000</v>
      </c>
      <c r="G122" s="3">
        <v>1368255000</v>
      </c>
      <c r="H122" s="3">
        <v>1475214000</v>
      </c>
      <c r="I122" s="3">
        <v>1598395000</v>
      </c>
      <c r="J122" s="3">
        <v>1740810000</v>
      </c>
      <c r="K122" s="3">
        <v>1956648000</v>
      </c>
      <c r="L122" s="3">
        <v>2193059000</v>
      </c>
      <c r="M122" s="3">
        <v>2585143000</v>
      </c>
      <c r="N122" s="3">
        <v>2958684000</v>
      </c>
      <c r="O122" s="4">
        <v>3286635000</v>
      </c>
      <c r="P122" s="3">
        <v>2958684000</v>
      </c>
      <c r="Q122" s="3">
        <v>3056327000</v>
      </c>
      <c r="R122" s="3">
        <v>3157877000</v>
      </c>
      <c r="S122" s="3">
        <v>3286635000</v>
      </c>
    </row>
    <row r="123" spans="1:19" ht="16" x14ac:dyDescent="0.2">
      <c r="A123" s="2" t="s">
        <v>129</v>
      </c>
      <c r="B123" s="3">
        <v>-19678000</v>
      </c>
      <c r="C123" s="3">
        <v>-21709000</v>
      </c>
      <c r="D123" s="3">
        <v>-15808000</v>
      </c>
      <c r="E123" s="3">
        <v>-20908000</v>
      </c>
      <c r="F123" s="3">
        <v>-23189000</v>
      </c>
      <c r="G123" s="3">
        <v>-50715000</v>
      </c>
      <c r="H123" s="3">
        <v>-77011000</v>
      </c>
      <c r="I123" s="3">
        <v>-66494000</v>
      </c>
      <c r="J123" s="3">
        <v>-76407000</v>
      </c>
      <c r="K123" s="3">
        <v>-90085000</v>
      </c>
      <c r="L123" s="3">
        <v>-82995000</v>
      </c>
      <c r="M123" s="3">
        <v>-75854000</v>
      </c>
      <c r="N123" s="3">
        <v>-124702000</v>
      </c>
      <c r="O123" s="4">
        <v>-94697000</v>
      </c>
      <c r="P123" s="3">
        <v>-124702000</v>
      </c>
      <c r="Q123" s="3">
        <v>-106321000</v>
      </c>
      <c r="R123" s="3">
        <v>-99769000</v>
      </c>
      <c r="S123" s="3">
        <v>-94697000</v>
      </c>
    </row>
    <row r="124" spans="1:19" ht="16" x14ac:dyDescent="0.2">
      <c r="A124" s="2" t="s">
        <v>130</v>
      </c>
      <c r="B124" s="3">
        <v>474914000</v>
      </c>
      <c r="C124" s="3">
        <v>465494000</v>
      </c>
      <c r="D124" s="3">
        <v>474406000</v>
      </c>
      <c r="E124" s="3">
        <v>530677000</v>
      </c>
      <c r="F124" s="3">
        <v>454614000</v>
      </c>
      <c r="G124" s="3">
        <v>436998000</v>
      </c>
      <c r="H124" s="3">
        <v>446828000</v>
      </c>
      <c r="I124" s="3">
        <v>426537000</v>
      </c>
      <c r="J124" s="3">
        <v>263737000</v>
      </c>
      <c r="K124" s="3">
        <v>289767000</v>
      </c>
      <c r="L124" s="3">
        <v>331082000</v>
      </c>
      <c r="M124" s="3">
        <v>-110942000</v>
      </c>
      <c r="N124" s="3">
        <v>-801947000</v>
      </c>
      <c r="O124" s="4">
        <v>-703976000</v>
      </c>
      <c r="P124" s="3">
        <v>-801947000</v>
      </c>
      <c r="Q124" s="3">
        <v>-802095000</v>
      </c>
      <c r="R124" s="3">
        <v>-770793000</v>
      </c>
      <c r="S124" s="3">
        <v>-703976000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474914000</v>
      </c>
      <c r="C126" s="3">
        <v>465494000</v>
      </c>
      <c r="D126" s="3">
        <v>474406000</v>
      </c>
      <c r="E126" s="3">
        <v>530677000</v>
      </c>
      <c r="F126" s="3">
        <v>454614000</v>
      </c>
      <c r="G126" s="3">
        <v>436998000</v>
      </c>
      <c r="H126" s="3">
        <v>446828000</v>
      </c>
      <c r="I126" s="3">
        <v>426537000</v>
      </c>
      <c r="J126" s="3">
        <v>263737000</v>
      </c>
      <c r="K126" s="3">
        <v>289767000</v>
      </c>
      <c r="L126" s="3">
        <v>331082000</v>
      </c>
      <c r="M126" s="3">
        <v>-110942000</v>
      </c>
      <c r="N126" s="3">
        <v>-801947000</v>
      </c>
      <c r="O126" s="4">
        <v>-703976000</v>
      </c>
      <c r="P126" s="3">
        <v>-801947000</v>
      </c>
      <c r="Q126" s="3">
        <v>-802095000</v>
      </c>
      <c r="R126" s="3">
        <v>-770793000</v>
      </c>
      <c r="S126" s="3">
        <v>-703976000</v>
      </c>
    </row>
    <row r="127" spans="1:19" ht="16" x14ac:dyDescent="0.2">
      <c r="A127" s="2" t="s">
        <v>133</v>
      </c>
      <c r="B127" s="3">
        <v>1123716000</v>
      </c>
      <c r="C127" s="3">
        <v>1129468000</v>
      </c>
      <c r="D127" s="3">
        <v>1158611000</v>
      </c>
      <c r="E127" s="3">
        <v>1161547000</v>
      </c>
      <c r="F127" s="3">
        <v>1192298000</v>
      </c>
      <c r="G127" s="3">
        <v>1230163000</v>
      </c>
      <c r="H127" s="3">
        <v>1221052000</v>
      </c>
      <c r="I127" s="3">
        <v>1255620000</v>
      </c>
      <c r="J127" s="3">
        <v>1255079000</v>
      </c>
      <c r="K127" s="3">
        <v>1433448000</v>
      </c>
      <c r="L127" s="3">
        <v>1606240000</v>
      </c>
      <c r="M127" s="3">
        <v>1567776000</v>
      </c>
      <c r="N127" s="3">
        <v>1442034000</v>
      </c>
      <c r="O127" s="4">
        <v>1584569000</v>
      </c>
      <c r="P127" s="3">
        <v>1442034000</v>
      </c>
      <c r="Q127" s="3">
        <v>1458693000</v>
      </c>
      <c r="R127" s="3">
        <v>1502431000</v>
      </c>
      <c r="S127" s="3">
        <v>1584569000</v>
      </c>
    </row>
    <row r="128" spans="1:19" ht="16" x14ac:dyDescent="0.2">
      <c r="A128" s="28" t="s">
        <v>134</v>
      </c>
      <c r="B128" s="26">
        <v>39882000</v>
      </c>
      <c r="C128" s="26">
        <v>37084000</v>
      </c>
      <c r="D128" s="26">
        <v>34839000</v>
      </c>
      <c r="E128" s="26">
        <v>34786000</v>
      </c>
      <c r="F128" s="26">
        <v>32047000</v>
      </c>
      <c r="G128" s="26">
        <v>31290000</v>
      </c>
      <c r="H128" s="26">
        <v>30935000</v>
      </c>
      <c r="I128" s="26">
        <v>30243000</v>
      </c>
      <c r="J128" s="26">
        <v>29015000</v>
      </c>
      <c r="K128" s="26">
        <v>28944000</v>
      </c>
      <c r="L128" s="26">
        <v>29096000</v>
      </c>
      <c r="M128" s="26">
        <v>27568000</v>
      </c>
      <c r="N128" s="26">
        <v>25154000</v>
      </c>
      <c r="O128" s="27">
        <v>24892000</v>
      </c>
      <c r="P128" s="26">
        <v>25154000</v>
      </c>
      <c r="Q128" s="26">
        <v>25155000</v>
      </c>
      <c r="R128" s="26">
        <v>25016000</v>
      </c>
      <c r="S128" s="26">
        <v>24892000</v>
      </c>
    </row>
    <row r="129" spans="1:19" ht="16" x14ac:dyDescent="0.2">
      <c r="A129" s="15" t="s">
        <v>197</v>
      </c>
      <c r="B129" s="10"/>
      <c r="C129" s="20">
        <f>(C128/B128)-1</f>
        <v>-7.0156963040970854E-2</v>
      </c>
      <c r="D129" s="20">
        <f>(D128/C128)-1</f>
        <v>-6.0538237514831228E-2</v>
      </c>
      <c r="E129" s="20">
        <f>(E128/D128)-1</f>
        <v>-1.5212836189327783E-3</v>
      </c>
      <c r="F129" s="20">
        <f t="shared" ref="F129:O129" si="18">(F128/E128)-1</f>
        <v>-7.873857298913356E-2</v>
      </c>
      <c r="G129" s="20">
        <f t="shared" si="18"/>
        <v>-2.3621555839860253E-2</v>
      </c>
      <c r="H129" s="20">
        <f t="shared" si="18"/>
        <v>-1.1345477788430758E-2</v>
      </c>
      <c r="I129" s="20">
        <f t="shared" si="18"/>
        <v>-2.2369484402779971E-2</v>
      </c>
      <c r="J129" s="20">
        <f t="shared" si="18"/>
        <v>-4.0604437390470483E-2</v>
      </c>
      <c r="K129" s="20">
        <f t="shared" si="18"/>
        <v>-2.4470101671548727E-3</v>
      </c>
      <c r="L129" s="20">
        <f t="shared" si="18"/>
        <v>5.2515201768932318E-3</v>
      </c>
      <c r="M129" s="20">
        <f t="shared" si="18"/>
        <v>-5.2515809733296726E-2</v>
      </c>
      <c r="N129" s="20">
        <f t="shared" si="18"/>
        <v>-8.7565293093441632E-2</v>
      </c>
      <c r="O129" s="20">
        <f t="shared" si="18"/>
        <v>-1.0415838435238967E-2</v>
      </c>
      <c r="P129" s="20">
        <f t="shared" ref="P129" si="19">(P128/O128)-1</f>
        <v>1.0525470030531947E-2</v>
      </c>
      <c r="Q129" s="20">
        <f t="shared" ref="Q129" si="20">(Q128/P128)-1</f>
        <v>3.9755108531380756E-5</v>
      </c>
      <c r="R129" s="20">
        <f t="shared" ref="R129" si="21">(R128/Q128)-1</f>
        <v>-5.5257404094612994E-3</v>
      </c>
      <c r="S129" s="20">
        <f t="shared" ref="S129" si="22">(S128/R128)-1</f>
        <v>-4.9568276303165737E-3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v>73207000</v>
      </c>
      <c r="M130" s="3">
        <v>75744000</v>
      </c>
      <c r="N130" s="3">
        <v>58561000</v>
      </c>
      <c r="O130" s="4">
        <v>42332000</v>
      </c>
      <c r="P130" s="3">
        <v>58561000</v>
      </c>
      <c r="Q130" s="3">
        <v>50760000</v>
      </c>
      <c r="R130" s="3">
        <v>46797000</v>
      </c>
      <c r="S130" s="3">
        <v>42332000</v>
      </c>
    </row>
    <row r="131" spans="1:19" ht="16" x14ac:dyDescent="0.2">
      <c r="A131" s="2" t="s">
        <v>136</v>
      </c>
      <c r="B131" s="3">
        <v>373801000</v>
      </c>
      <c r="C131" s="3">
        <v>376248000</v>
      </c>
      <c r="D131" s="3">
        <v>432391000</v>
      </c>
      <c r="E131" s="3">
        <v>386822000</v>
      </c>
      <c r="F131" s="3">
        <v>440925000</v>
      </c>
      <c r="G131" s="3">
        <v>521880000</v>
      </c>
      <c r="H131" s="3">
        <v>495074000</v>
      </c>
      <c r="I131" s="3">
        <v>499183000</v>
      </c>
      <c r="J131" s="3">
        <v>673921000</v>
      </c>
      <c r="K131" s="3">
        <v>718364000</v>
      </c>
      <c r="L131" s="3">
        <v>677041000</v>
      </c>
      <c r="M131" s="3">
        <v>1063664000</v>
      </c>
      <c r="N131" s="3">
        <v>1720467000</v>
      </c>
      <c r="O131" s="4">
        <v>1766638000</v>
      </c>
      <c r="P131" s="3">
        <v>1720467000</v>
      </c>
      <c r="Q131" s="3">
        <v>1780810000</v>
      </c>
      <c r="R131" s="3">
        <v>1786892000</v>
      </c>
      <c r="S131" s="3">
        <v>1766638000</v>
      </c>
    </row>
    <row r="132" spans="1:19" ht="16" x14ac:dyDescent="0.2">
      <c r="A132" s="2" t="s">
        <v>137</v>
      </c>
      <c r="B132" s="5">
        <v>78.709999999999994</v>
      </c>
      <c r="C132" s="5">
        <v>80.83</v>
      </c>
      <c r="D132" s="5">
        <v>91.14</v>
      </c>
      <c r="E132" s="5">
        <v>72.89</v>
      </c>
      <c r="F132" s="5">
        <v>96.99</v>
      </c>
      <c r="G132" s="5">
        <v>119.42</v>
      </c>
      <c r="H132" s="5">
        <v>110.8</v>
      </c>
      <c r="I132" s="5">
        <v>117.03</v>
      </c>
      <c r="J132" s="5">
        <v>255.53</v>
      </c>
      <c r="K132" s="5">
        <v>247.91</v>
      </c>
      <c r="L132" s="5">
        <v>204.49</v>
      </c>
      <c r="M132" s="5">
        <v>-958.76</v>
      </c>
      <c r="N132" s="5">
        <v>-214.54</v>
      </c>
      <c r="O132" s="6">
        <v>-250.95</v>
      </c>
      <c r="P132" s="5">
        <v>-214.54</v>
      </c>
      <c r="Q132" s="5">
        <v>-222.02</v>
      </c>
      <c r="R132" s="5">
        <v>-231.83</v>
      </c>
      <c r="S132" s="5">
        <v>-250.95</v>
      </c>
    </row>
    <row r="133" spans="1:19" ht="16" x14ac:dyDescent="0.2">
      <c r="A133" s="2" t="s">
        <v>138</v>
      </c>
      <c r="B133" s="5">
        <v>-50.7</v>
      </c>
      <c r="C133" s="5">
        <v>-49.11</v>
      </c>
      <c r="D133" s="5">
        <v>-96.16</v>
      </c>
      <c r="E133" s="5">
        <v>-91.03</v>
      </c>
      <c r="F133" s="5">
        <v>-102.41</v>
      </c>
      <c r="G133" s="5">
        <v>-115.48</v>
      </c>
      <c r="H133" s="5">
        <v>-99.02</v>
      </c>
      <c r="I133" s="5">
        <v>-92.8</v>
      </c>
      <c r="J133" s="5">
        <v>-125.48</v>
      </c>
      <c r="K133" s="5">
        <v>-85.73</v>
      </c>
      <c r="L133" s="5">
        <v>-62.52</v>
      </c>
      <c r="M133" s="5">
        <v>-116.47</v>
      </c>
      <c r="N133" s="5">
        <v>-230.51</v>
      </c>
      <c r="O133" s="6">
        <v>-183.67</v>
      </c>
      <c r="P133" s="5">
        <v>-230.51</v>
      </c>
      <c r="Q133" s="5">
        <v>-229.8</v>
      </c>
      <c r="R133" s="5">
        <v>-212.84</v>
      </c>
      <c r="S133" s="5">
        <v>-183.67</v>
      </c>
    </row>
    <row r="134" spans="1:19" ht="16" x14ac:dyDescent="0.2">
      <c r="A134" s="2" t="s">
        <v>139</v>
      </c>
      <c r="B134" s="5">
        <v>2.84</v>
      </c>
      <c r="C134" s="5">
        <v>2.4900000000000002</v>
      </c>
      <c r="D134" s="5">
        <v>1.24</v>
      </c>
      <c r="E134" s="5">
        <v>1.5</v>
      </c>
      <c r="F134" s="5">
        <v>0.85</v>
      </c>
      <c r="G134" s="5">
        <v>1.18</v>
      </c>
      <c r="H134" s="5">
        <v>1.0900000000000001</v>
      </c>
      <c r="I134" s="5">
        <v>0.95</v>
      </c>
      <c r="J134" s="5">
        <v>0.8</v>
      </c>
      <c r="K134" s="5">
        <v>0.93</v>
      </c>
      <c r="L134" s="5">
        <v>1.29</v>
      </c>
      <c r="M134" s="5">
        <v>0.99</v>
      </c>
      <c r="N134" s="5">
        <v>1.46</v>
      </c>
      <c r="O134" s="6">
        <v>1.46</v>
      </c>
      <c r="P134" s="5">
        <v>1.46</v>
      </c>
      <c r="Q134" s="5">
        <v>1.36</v>
      </c>
      <c r="R134" s="5">
        <v>1.4</v>
      </c>
      <c r="S134" s="5">
        <v>1.46</v>
      </c>
    </row>
    <row r="135" spans="1:19" ht="16" x14ac:dyDescent="0.2">
      <c r="A135" s="2" t="s">
        <v>140</v>
      </c>
      <c r="B135" s="5">
        <v>47.26</v>
      </c>
      <c r="C135" s="5">
        <v>44.77</v>
      </c>
      <c r="D135" s="5">
        <v>-1.19</v>
      </c>
      <c r="E135" s="5">
        <v>-22.78</v>
      </c>
      <c r="F135" s="5">
        <v>-13.31</v>
      </c>
      <c r="G135" s="5">
        <v>-5.23</v>
      </c>
      <c r="H135" s="5">
        <v>-2.2599999999999998</v>
      </c>
      <c r="I135" s="5">
        <v>0.8</v>
      </c>
      <c r="J135" s="5">
        <v>6.62</v>
      </c>
      <c r="K135" s="5">
        <v>22.07</v>
      </c>
      <c r="L135" s="5">
        <v>17.3</v>
      </c>
      <c r="M135" s="5">
        <v>-12.89</v>
      </c>
      <c r="N135" s="5">
        <v>-26.93</v>
      </c>
      <c r="O135" s="4">
        <v>63</v>
      </c>
      <c r="P135" s="5">
        <v>-26.93</v>
      </c>
      <c r="Q135" s="5">
        <v>52.14</v>
      </c>
      <c r="R135" s="5">
        <v>21.61</v>
      </c>
      <c r="S135" s="3">
        <v>63</v>
      </c>
    </row>
    <row r="136" spans="1:19" ht="16" x14ac:dyDescent="0.2">
      <c r="A136" s="2" t="s">
        <v>141</v>
      </c>
      <c r="B136" s="3">
        <v>2157</v>
      </c>
      <c r="C136" s="3">
        <v>2023</v>
      </c>
      <c r="D136" s="3">
        <v>2315</v>
      </c>
      <c r="E136" s="3">
        <v>2482</v>
      </c>
      <c r="F136" s="3">
        <v>2646</v>
      </c>
      <c r="G136" s="3">
        <v>2803</v>
      </c>
      <c r="H136" s="3">
        <v>3088</v>
      </c>
      <c r="I136" s="3">
        <v>3299</v>
      </c>
      <c r="J136" s="3">
        <v>3668</v>
      </c>
      <c r="K136" s="3">
        <v>4009</v>
      </c>
      <c r="L136" s="3">
        <v>4003</v>
      </c>
      <c r="M136" s="3">
        <v>3662</v>
      </c>
      <c r="N136" s="3">
        <v>3404</v>
      </c>
      <c r="O136" s="4">
        <v>3404</v>
      </c>
      <c r="P136" s="3">
        <v>3404</v>
      </c>
      <c r="Q136" s="3">
        <v>3404</v>
      </c>
      <c r="R136" s="3">
        <v>3404</v>
      </c>
      <c r="S136" s="3">
        <v>3404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64457000</v>
      </c>
      <c r="C139" s="3">
        <v>71562000</v>
      </c>
      <c r="D139" s="3">
        <v>92004000</v>
      </c>
      <c r="E139" s="3">
        <v>90095000</v>
      </c>
      <c r="F139" s="3">
        <v>94879000</v>
      </c>
      <c r="G139" s="3">
        <v>86502000</v>
      </c>
      <c r="H139" s="3">
        <v>109448000</v>
      </c>
      <c r="I139" s="3">
        <v>128256000</v>
      </c>
      <c r="J139" s="3">
        <v>142415000</v>
      </c>
      <c r="K139" s="3">
        <v>192124000</v>
      </c>
      <c r="L139" s="3">
        <v>236411000</v>
      </c>
      <c r="M139" s="3">
        <v>392084000</v>
      </c>
      <c r="N139" s="3">
        <v>373541000</v>
      </c>
      <c r="O139" s="4">
        <v>418650000</v>
      </c>
      <c r="P139" s="3">
        <v>90699000</v>
      </c>
      <c r="Q139" s="3">
        <v>97643000</v>
      </c>
      <c r="R139" s="3">
        <v>101550000</v>
      </c>
      <c r="S139" s="3">
        <v>128758000</v>
      </c>
    </row>
    <row r="140" spans="1:19" ht="16" x14ac:dyDescent="0.2">
      <c r="A140" s="2" t="s">
        <v>143</v>
      </c>
      <c r="B140" s="3">
        <v>30918000</v>
      </c>
      <c r="C140" s="3">
        <v>24197000</v>
      </c>
      <c r="D140" s="3">
        <v>21549000</v>
      </c>
      <c r="E140" s="3">
        <v>33214000</v>
      </c>
      <c r="F140" s="3">
        <v>32632000</v>
      </c>
      <c r="G140" s="3">
        <v>33889000</v>
      </c>
      <c r="H140" s="3">
        <v>31633000</v>
      </c>
      <c r="I140" s="3">
        <v>36214000</v>
      </c>
      <c r="J140" s="3">
        <v>30182000</v>
      </c>
      <c r="K140" s="3">
        <v>31612000</v>
      </c>
      <c r="L140" s="3">
        <v>30367000</v>
      </c>
      <c r="M140" s="3">
        <v>25592000</v>
      </c>
      <c r="N140" s="3">
        <v>20465000</v>
      </c>
      <c r="O140" s="4">
        <v>16288000</v>
      </c>
      <c r="P140" s="3">
        <v>4646000</v>
      </c>
      <c r="Q140" s="3">
        <v>4280000</v>
      </c>
      <c r="R140" s="3">
        <v>4014000</v>
      </c>
      <c r="S140" s="3">
        <v>3348000</v>
      </c>
    </row>
    <row r="141" spans="1:19" ht="16" x14ac:dyDescent="0.2">
      <c r="A141" s="2" t="s">
        <v>144</v>
      </c>
      <c r="B141" s="3">
        <v>20941000</v>
      </c>
      <c r="C141" s="3">
        <v>12628000</v>
      </c>
      <c r="D141" s="3">
        <v>12270000</v>
      </c>
      <c r="E141" s="3">
        <v>26732000</v>
      </c>
      <c r="F141" s="3">
        <v>21038000</v>
      </c>
      <c r="G141" s="3">
        <v>40319000</v>
      </c>
      <c r="H141" s="3">
        <v>30666000</v>
      </c>
      <c r="I141" s="3">
        <v>56827000</v>
      </c>
      <c r="J141" s="3">
        <v>89948000</v>
      </c>
      <c r="K141" s="3">
        <v>92080000</v>
      </c>
      <c r="L141" s="3">
        <v>139446000</v>
      </c>
      <c r="M141" s="3">
        <v>18881000</v>
      </c>
      <c r="N141" s="3">
        <v>151355000</v>
      </c>
      <c r="O141" s="4">
        <v>100939000</v>
      </c>
      <c r="P141" s="3">
        <v>41903000</v>
      </c>
      <c r="Q141" s="3">
        <v>23766000</v>
      </c>
      <c r="R141" s="3">
        <v>19382000</v>
      </c>
      <c r="S141" s="3">
        <v>15888000</v>
      </c>
    </row>
    <row r="142" spans="1:19" ht="16" x14ac:dyDescent="0.2">
      <c r="A142" s="28" t="s">
        <v>145</v>
      </c>
      <c r="B142" s="26">
        <v>17305000</v>
      </c>
      <c r="C142" s="26">
        <v>15500000</v>
      </c>
      <c r="D142" s="26">
        <v>21229000</v>
      </c>
      <c r="E142" s="26">
        <v>25850000</v>
      </c>
      <c r="F142" s="26">
        <v>36362000</v>
      </c>
      <c r="G142" s="26">
        <v>45308000</v>
      </c>
      <c r="H142" s="26">
        <v>55509000</v>
      </c>
      <c r="I142" s="26">
        <v>61222000</v>
      </c>
      <c r="J142" s="26">
        <v>74814000</v>
      </c>
      <c r="K142" s="26">
        <v>82973000</v>
      </c>
      <c r="L142" s="26">
        <v>93681000</v>
      </c>
      <c r="M142" s="26">
        <v>112457000</v>
      </c>
      <c r="N142" s="26">
        <v>115355000</v>
      </c>
      <c r="O142" s="27">
        <v>118742000</v>
      </c>
      <c r="P142" s="26">
        <v>28992000</v>
      </c>
      <c r="Q142" s="26">
        <v>29702000</v>
      </c>
      <c r="R142" s="26">
        <v>27053000</v>
      </c>
      <c r="S142" s="26">
        <v>32995000</v>
      </c>
    </row>
    <row r="143" spans="1:19" ht="16" x14ac:dyDescent="0.2">
      <c r="A143" s="12" t="s">
        <v>198</v>
      </c>
      <c r="B143" s="20">
        <f t="shared" ref="B143:S143" si="23">B142/B2</f>
        <v>2.8572938183055036E-2</v>
      </c>
      <c r="C143" s="20">
        <f t="shared" si="23"/>
        <v>2.5012788796852585E-2</v>
      </c>
      <c r="D143" s="20">
        <f t="shared" si="23"/>
        <v>3.1384207810792951E-2</v>
      </c>
      <c r="E143" s="20">
        <f t="shared" si="23"/>
        <v>3.4770608142644231E-2</v>
      </c>
      <c r="F143" s="20">
        <f t="shared" si="23"/>
        <v>4.6087061224231132E-2</v>
      </c>
      <c r="G143" s="20">
        <f t="shared" si="23"/>
        <v>5.4016483444427089E-2</v>
      </c>
      <c r="H143" s="20">
        <f t="shared" si="23"/>
        <v>6.2981360539895337E-2</v>
      </c>
      <c r="I143" s="20">
        <f t="shared" si="23"/>
        <v>6.5676931972635869E-2</v>
      </c>
      <c r="J143" s="20">
        <f t="shared" si="23"/>
        <v>7.2460834402770041E-2</v>
      </c>
      <c r="K143" s="20">
        <f t="shared" si="23"/>
        <v>7.1523330658237391E-2</v>
      </c>
      <c r="L143" s="20">
        <f t="shared" si="23"/>
        <v>7.2365016121282724E-2</v>
      </c>
      <c r="M143" s="20">
        <f t="shared" si="23"/>
        <v>8.5418856757430106E-2</v>
      </c>
      <c r="N143" s="20">
        <f t="shared" si="23"/>
        <v>8.375627146456395E-2</v>
      </c>
      <c r="O143" s="20">
        <f t="shared" si="23"/>
        <v>8.0635785550723496E-2</v>
      </c>
      <c r="P143" s="20">
        <f t="shared" si="23"/>
        <v>8.3131659536398769E-2</v>
      </c>
      <c r="Q143" s="20">
        <f t="shared" si="23"/>
        <v>8.612520659958825E-2</v>
      </c>
      <c r="R143" s="20">
        <f t="shared" si="23"/>
        <v>7.1142305649203458E-2</v>
      </c>
      <c r="S143" s="20">
        <f t="shared" si="23"/>
        <v>8.2758949353880729E-2</v>
      </c>
    </row>
    <row r="144" spans="1:19" ht="16" x14ac:dyDescent="0.2">
      <c r="A144" s="2" t="s">
        <v>146</v>
      </c>
      <c r="B144" s="3">
        <v>6761000</v>
      </c>
      <c r="C144" s="3">
        <v>1252000</v>
      </c>
      <c r="D144" s="3">
        <v>-1042000</v>
      </c>
      <c r="E144" s="3">
        <v>6558000</v>
      </c>
      <c r="F144" s="3">
        <v>-9991000</v>
      </c>
      <c r="G144" s="3">
        <v>6596000</v>
      </c>
      <c r="H144" s="3">
        <v>-1823000</v>
      </c>
      <c r="I144" s="3">
        <v>-6049000</v>
      </c>
      <c r="J144" s="3">
        <v>25729000</v>
      </c>
      <c r="K144" s="3">
        <v>7701000</v>
      </c>
      <c r="L144" s="3">
        <v>-8639000</v>
      </c>
      <c r="M144" s="3">
        <v>-5955000</v>
      </c>
      <c r="N144" s="3">
        <v>7816000</v>
      </c>
      <c r="O144" s="4">
        <v>-31804000</v>
      </c>
      <c r="P144" s="3">
        <v>5991000</v>
      </c>
      <c r="Q144" s="3">
        <v>-8507000</v>
      </c>
      <c r="R144" s="3">
        <v>-9853000</v>
      </c>
      <c r="S144" s="3">
        <v>-19435000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v>28016000</v>
      </c>
      <c r="M145" s="3" t="s">
        <v>24</v>
      </c>
      <c r="N145" s="3" t="s">
        <v>24</v>
      </c>
      <c r="O145" s="4" t="s">
        <v>24</v>
      </c>
      <c r="P145" s="3" t="s">
        <v>24</v>
      </c>
      <c r="Q145" s="3" t="s">
        <v>24</v>
      </c>
      <c r="R145" s="3" t="s">
        <v>24</v>
      </c>
      <c r="S145" s="3" t="s">
        <v>24</v>
      </c>
    </row>
    <row r="146" spans="1:19" ht="16" x14ac:dyDescent="0.2">
      <c r="A146" s="2" t="s">
        <v>148</v>
      </c>
      <c r="B146" s="3">
        <v>-3125000</v>
      </c>
      <c r="C146" s="3">
        <v>-4124000</v>
      </c>
      <c r="D146" s="3">
        <v>-7917000</v>
      </c>
      <c r="E146" s="3">
        <v>-5676000</v>
      </c>
      <c r="F146" s="3">
        <v>-5333000</v>
      </c>
      <c r="G146" s="3">
        <v>-11585000</v>
      </c>
      <c r="H146" s="3">
        <v>-23020000</v>
      </c>
      <c r="I146" s="3">
        <v>1654000</v>
      </c>
      <c r="J146" s="3">
        <v>-10595000</v>
      </c>
      <c r="K146" s="3">
        <v>1406000</v>
      </c>
      <c r="L146" s="3">
        <v>26388000</v>
      </c>
      <c r="M146" s="3">
        <v>-87621000</v>
      </c>
      <c r="N146" s="3">
        <v>28184000</v>
      </c>
      <c r="O146" s="4">
        <v>14001000</v>
      </c>
      <c r="P146" s="3">
        <v>6920000</v>
      </c>
      <c r="Q146" s="3">
        <v>2571000</v>
      </c>
      <c r="R146" s="3">
        <v>2182000</v>
      </c>
      <c r="S146" s="3">
        <v>2328000</v>
      </c>
    </row>
    <row r="147" spans="1:19" ht="16" x14ac:dyDescent="0.2">
      <c r="A147" s="2" t="s">
        <v>149</v>
      </c>
      <c r="B147" s="3">
        <v>-10536000</v>
      </c>
      <c r="C147" s="3">
        <v>27769000</v>
      </c>
      <c r="D147" s="3">
        <v>3923000</v>
      </c>
      <c r="E147" s="3">
        <v>-13921000</v>
      </c>
      <c r="F147" s="3">
        <v>26485000</v>
      </c>
      <c r="G147" s="3">
        <v>-27733000</v>
      </c>
      <c r="H147" s="3">
        <v>13484000</v>
      </c>
      <c r="I147" s="3">
        <v>4347000</v>
      </c>
      <c r="J147" s="3">
        <v>-39493000</v>
      </c>
      <c r="K147" s="3">
        <v>-55466000</v>
      </c>
      <c r="L147" s="3">
        <v>-41308000</v>
      </c>
      <c r="M147" s="3">
        <v>-12740000</v>
      </c>
      <c r="N147" s="3">
        <v>-35911000</v>
      </c>
      <c r="O147" s="4">
        <v>-86185000</v>
      </c>
      <c r="P147" s="3">
        <v>7578000</v>
      </c>
      <c r="Q147" s="3">
        <v>-33249000</v>
      </c>
      <c r="R147" s="3">
        <v>-35142000</v>
      </c>
      <c r="S147" s="3">
        <v>-25372000</v>
      </c>
    </row>
    <row r="148" spans="1:19" ht="16" x14ac:dyDescent="0.2">
      <c r="A148" s="2" t="s">
        <v>150</v>
      </c>
      <c r="B148" s="3">
        <v>-11561000</v>
      </c>
      <c r="C148" s="3">
        <v>8571000</v>
      </c>
      <c r="D148" s="3">
        <v>-26490000</v>
      </c>
      <c r="E148" s="3">
        <v>1286000</v>
      </c>
      <c r="F148" s="3">
        <v>-13649000</v>
      </c>
      <c r="G148" s="3">
        <v>-4602000</v>
      </c>
      <c r="H148" s="3">
        <v>-18225000</v>
      </c>
      <c r="I148" s="3">
        <v>-1265000</v>
      </c>
      <c r="J148" s="3">
        <v>-42403000</v>
      </c>
      <c r="K148" s="3">
        <v>-36176000</v>
      </c>
      <c r="L148" s="3">
        <v>-59889000</v>
      </c>
      <c r="M148" s="3">
        <v>24496000</v>
      </c>
      <c r="N148" s="3">
        <v>-31557000</v>
      </c>
      <c r="O148" s="4">
        <v>-108696000</v>
      </c>
      <c r="P148" s="3">
        <v>-43691000</v>
      </c>
      <c r="Q148" s="3">
        <v>8704000</v>
      </c>
      <c r="R148" s="3">
        <v>-22493000</v>
      </c>
      <c r="S148" s="3">
        <v>-51216000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315000</v>
      </c>
      <c r="C150" s="3">
        <v>2060000</v>
      </c>
      <c r="D150" s="3">
        <v>802000</v>
      </c>
      <c r="E150" s="3">
        <v>-822000</v>
      </c>
      <c r="F150" s="3">
        <v>-1754000</v>
      </c>
      <c r="G150" s="3">
        <v>-15462000</v>
      </c>
      <c r="H150" s="3">
        <v>12848000</v>
      </c>
      <c r="I150" s="3">
        <v>-7115000</v>
      </c>
      <c r="J150" s="3">
        <v>-8504000</v>
      </c>
      <c r="K150" s="3">
        <v>-55507000</v>
      </c>
      <c r="L150" s="3">
        <v>-960000</v>
      </c>
      <c r="M150" s="3">
        <v>-5722000</v>
      </c>
      <c r="N150" s="3">
        <v>7368000</v>
      </c>
      <c r="O150" s="4">
        <v>936000</v>
      </c>
      <c r="P150" s="3">
        <v>2423000</v>
      </c>
      <c r="Q150" s="3">
        <v>-5823000</v>
      </c>
      <c r="R150" s="3">
        <v>-11255000</v>
      </c>
      <c r="S150" s="3">
        <v>15591000</v>
      </c>
    </row>
    <row r="151" spans="1:19" ht="16" x14ac:dyDescent="0.2">
      <c r="A151" s="2" t="s">
        <v>153</v>
      </c>
      <c r="B151" s="3">
        <v>-317000</v>
      </c>
      <c r="C151" s="3">
        <v>-1749000</v>
      </c>
      <c r="D151" s="3">
        <v>6810000</v>
      </c>
      <c r="E151" s="3">
        <v>-590000</v>
      </c>
      <c r="F151" s="3">
        <v>3174000</v>
      </c>
      <c r="G151" s="3">
        <v>-3672000</v>
      </c>
      <c r="H151" s="3">
        <v>564000</v>
      </c>
      <c r="I151" s="3">
        <v>-2027000</v>
      </c>
      <c r="J151" s="3">
        <v>843000</v>
      </c>
      <c r="K151" s="3">
        <v>1885000</v>
      </c>
      <c r="L151" s="3">
        <v>1059000</v>
      </c>
      <c r="M151" s="3">
        <v>-2354000</v>
      </c>
      <c r="N151" s="3">
        <v>-2802000</v>
      </c>
      <c r="O151" s="4">
        <v>114000</v>
      </c>
      <c r="P151" s="3">
        <v>176000</v>
      </c>
      <c r="Q151" s="3">
        <v>168000</v>
      </c>
      <c r="R151" s="3">
        <v>-2978000</v>
      </c>
      <c r="S151" s="3">
        <v>2748000</v>
      </c>
    </row>
    <row r="152" spans="1:19" ht="16" x14ac:dyDescent="0.2">
      <c r="A152" s="2" t="s">
        <v>154</v>
      </c>
      <c r="B152" s="3">
        <v>1027000</v>
      </c>
      <c r="C152" s="3">
        <v>18887000</v>
      </c>
      <c r="D152" s="3">
        <v>22801000</v>
      </c>
      <c r="E152" s="3">
        <v>-13795000</v>
      </c>
      <c r="F152" s="3">
        <v>38714000</v>
      </c>
      <c r="G152" s="3">
        <v>-3997000</v>
      </c>
      <c r="H152" s="3">
        <v>18297000</v>
      </c>
      <c r="I152" s="3">
        <v>14754000</v>
      </c>
      <c r="J152" s="3">
        <v>10571000</v>
      </c>
      <c r="K152" s="3">
        <v>34332000</v>
      </c>
      <c r="L152" s="3">
        <v>18482000</v>
      </c>
      <c r="M152" s="3">
        <v>-29160000</v>
      </c>
      <c r="N152" s="3">
        <v>-8920000</v>
      </c>
      <c r="O152" s="4">
        <v>21461000</v>
      </c>
      <c r="P152" s="3">
        <v>48670000</v>
      </c>
      <c r="Q152" s="3">
        <v>-36298000</v>
      </c>
      <c r="R152" s="3">
        <v>1584000</v>
      </c>
      <c r="S152" s="3">
        <v>7505000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105780000</v>
      </c>
      <c r="C154" s="3">
        <v>136156000</v>
      </c>
      <c r="D154" s="3">
        <v>129746000</v>
      </c>
      <c r="E154" s="3">
        <v>136120000</v>
      </c>
      <c r="F154" s="3">
        <v>175034000</v>
      </c>
      <c r="G154" s="3">
        <v>132977000</v>
      </c>
      <c r="H154" s="3">
        <v>185231000</v>
      </c>
      <c r="I154" s="3">
        <v>225644000</v>
      </c>
      <c r="J154" s="3">
        <v>223052000</v>
      </c>
      <c r="K154" s="3">
        <v>260350000</v>
      </c>
      <c r="L154" s="3">
        <v>364916000</v>
      </c>
      <c r="M154" s="3">
        <v>423817000</v>
      </c>
      <c r="N154" s="3">
        <v>509450000</v>
      </c>
      <c r="O154" s="4">
        <v>449692000</v>
      </c>
      <c r="P154" s="3">
        <v>144826000</v>
      </c>
      <c r="Q154" s="3">
        <v>92440000</v>
      </c>
      <c r="R154" s="3">
        <v>89804000</v>
      </c>
      <c r="S154" s="3">
        <v>122622000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2182000</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v>2182000</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-17453000</v>
      </c>
      <c r="C159" s="3">
        <v>-14020000</v>
      </c>
      <c r="D159" s="3">
        <v>-25483000</v>
      </c>
      <c r="E159" s="3">
        <v>-24147000</v>
      </c>
      <c r="F159" s="3">
        <v>-12590000</v>
      </c>
      <c r="G159" s="3">
        <v>-24999000</v>
      </c>
      <c r="H159" s="3">
        <v>-21969000</v>
      </c>
      <c r="I159" s="3">
        <v>-19828000</v>
      </c>
      <c r="J159" s="3">
        <v>-31299000</v>
      </c>
      <c r="K159" s="3">
        <v>-23981000</v>
      </c>
      <c r="L159" s="3">
        <v>-21989000</v>
      </c>
      <c r="M159" s="3">
        <v>-7569000</v>
      </c>
      <c r="N159" s="3">
        <v>-6029000</v>
      </c>
      <c r="O159" s="4">
        <v>-3966000</v>
      </c>
      <c r="P159" s="3">
        <v>-797000</v>
      </c>
      <c r="Q159" s="3">
        <v>-850000</v>
      </c>
      <c r="R159" s="3">
        <v>-1527000</v>
      </c>
      <c r="S159" s="3">
        <v>-792000</v>
      </c>
    </row>
    <row r="160" spans="1:19" ht="16" x14ac:dyDescent="0.2">
      <c r="A160" s="2" t="s">
        <v>162</v>
      </c>
      <c r="B160" s="3">
        <v>-17453000</v>
      </c>
      <c r="C160" s="3">
        <v>-14020000</v>
      </c>
      <c r="D160" s="3">
        <v>-25483000</v>
      </c>
      <c r="E160" s="3">
        <v>-24147000</v>
      </c>
      <c r="F160" s="3">
        <v>-12590000</v>
      </c>
      <c r="G160" s="3">
        <v>-24999000</v>
      </c>
      <c r="H160" s="3">
        <v>-21969000</v>
      </c>
      <c r="I160" s="3">
        <v>-19828000</v>
      </c>
      <c r="J160" s="3">
        <v>-31299000</v>
      </c>
      <c r="K160" s="3">
        <v>-23981000</v>
      </c>
      <c r="L160" s="3">
        <v>-21989000</v>
      </c>
      <c r="M160" s="3">
        <v>-7569000</v>
      </c>
      <c r="N160" s="3">
        <v>-6029000</v>
      </c>
      <c r="O160" s="4">
        <v>-3966000</v>
      </c>
      <c r="P160" s="3">
        <v>-797000</v>
      </c>
      <c r="Q160" s="3">
        <v>-850000</v>
      </c>
      <c r="R160" s="3">
        <v>-1527000</v>
      </c>
      <c r="S160" s="3">
        <v>-792000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54109000</v>
      </c>
      <c r="C162" s="3">
        <v>-37821000</v>
      </c>
      <c r="D162" s="3">
        <v>35525000</v>
      </c>
      <c r="E162" s="3">
        <v>22000000</v>
      </c>
      <c r="F162" s="3" t="s">
        <v>24</v>
      </c>
      <c r="G162" s="3" t="s">
        <v>24</v>
      </c>
      <c r="H162" s="3" t="s">
        <v>24</v>
      </c>
      <c r="I162" s="3">
        <v>-777000</v>
      </c>
      <c r="J162" s="3">
        <v>20410000</v>
      </c>
      <c r="K162" s="3">
        <v>556000</v>
      </c>
      <c r="L162" s="3">
        <v>821000</v>
      </c>
      <c r="M162" s="3">
        <v>5435000</v>
      </c>
      <c r="N162" s="3">
        <v>6163000</v>
      </c>
      <c r="O162" s="4">
        <v>-4132000</v>
      </c>
      <c r="P162" s="3">
        <v>-453000</v>
      </c>
      <c r="Q162" s="3">
        <v>-2165000</v>
      </c>
      <c r="R162" s="3">
        <v>-1219000</v>
      </c>
      <c r="S162" s="3">
        <v>-295000</v>
      </c>
    </row>
    <row r="163" spans="1:19" ht="16" x14ac:dyDescent="0.2">
      <c r="A163" s="2" t="s">
        <v>165</v>
      </c>
      <c r="B163" s="3">
        <v>125858000</v>
      </c>
      <c r="C163" s="3">
        <v>106403000</v>
      </c>
      <c r="D163" s="3">
        <v>83592000</v>
      </c>
      <c r="E163" s="3">
        <v>22000000</v>
      </c>
      <c r="F163" s="3" t="s">
        <v>24</v>
      </c>
      <c r="G163" s="3" t="s">
        <v>24</v>
      </c>
      <c r="H163" s="3" t="s">
        <v>24</v>
      </c>
      <c r="I163" s="3" t="s">
        <v>24</v>
      </c>
      <c r="J163" s="3">
        <v>23230000</v>
      </c>
      <c r="K163" s="3">
        <v>3480000</v>
      </c>
      <c r="L163" s="3">
        <v>3470000</v>
      </c>
      <c r="M163" s="3">
        <v>7237000</v>
      </c>
      <c r="N163" s="3">
        <v>8063000</v>
      </c>
      <c r="O163" s="4">
        <v>6457000</v>
      </c>
      <c r="P163" s="3">
        <v>1488000</v>
      </c>
      <c r="Q163" s="3">
        <v>2393000</v>
      </c>
      <c r="R163" s="3">
        <v>2238000</v>
      </c>
      <c r="S163" s="3">
        <v>338000</v>
      </c>
    </row>
    <row r="164" spans="1:19" ht="16" x14ac:dyDescent="0.2">
      <c r="A164" s="2" t="s">
        <v>166</v>
      </c>
      <c r="B164" s="3">
        <v>-71749000</v>
      </c>
      <c r="C164" s="3">
        <v>-144224000</v>
      </c>
      <c r="D164" s="3">
        <v>-48067000</v>
      </c>
      <c r="E164" s="3" t="s">
        <v>24</v>
      </c>
      <c r="F164" s="3" t="s">
        <v>24</v>
      </c>
      <c r="G164" s="3" t="s">
        <v>24</v>
      </c>
      <c r="H164" s="3" t="s">
        <v>24</v>
      </c>
      <c r="I164" s="3">
        <v>-777000</v>
      </c>
      <c r="J164" s="3">
        <v>-2820000</v>
      </c>
      <c r="K164" s="3">
        <v>-2924000</v>
      </c>
      <c r="L164" s="3">
        <v>-2649000</v>
      </c>
      <c r="M164" s="3">
        <v>-1802000</v>
      </c>
      <c r="N164" s="3">
        <v>-1900000</v>
      </c>
      <c r="O164" s="4">
        <v>-10589000</v>
      </c>
      <c r="P164" s="3">
        <v>-1941000</v>
      </c>
      <c r="Q164" s="3">
        <v>-4558000</v>
      </c>
      <c r="R164" s="3">
        <v>-3457000</v>
      </c>
      <c r="S164" s="3">
        <v>-633000</v>
      </c>
    </row>
    <row r="165" spans="1:19" ht="16" x14ac:dyDescent="0.2">
      <c r="A165" s="2" t="s">
        <v>167</v>
      </c>
      <c r="B165" s="3" t="s">
        <v>24</v>
      </c>
      <c r="C165" s="3" t="s">
        <v>24</v>
      </c>
      <c r="D165" s="3">
        <v>-123631000</v>
      </c>
      <c r="E165" s="3">
        <v>-32874000</v>
      </c>
      <c r="F165" s="3">
        <v>-7253000</v>
      </c>
      <c r="G165" s="3">
        <v>-56992000</v>
      </c>
      <c r="H165" s="3">
        <v>-5683000</v>
      </c>
      <c r="I165" s="3" t="s">
        <v>24</v>
      </c>
      <c r="J165" s="3" t="s">
        <v>24</v>
      </c>
      <c r="K165" s="3">
        <v>-15855000</v>
      </c>
      <c r="L165" s="3" t="s">
        <v>24</v>
      </c>
      <c r="M165" s="3">
        <v>147431000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v>147431000</v>
      </c>
      <c r="N166" s="3" t="s">
        <v>24</v>
      </c>
      <c r="O166" s="4" t="s">
        <v>24</v>
      </c>
      <c r="P166" s="3" t="s">
        <v>24</v>
      </c>
      <c r="Q166" s="3" t="s">
        <v>24</v>
      </c>
      <c r="R166" s="3" t="s">
        <v>24</v>
      </c>
      <c r="S166" s="3" t="s">
        <v>24</v>
      </c>
    </row>
    <row r="167" spans="1:19" ht="16" x14ac:dyDescent="0.2">
      <c r="A167" s="2" t="s">
        <v>169</v>
      </c>
      <c r="B167" s="3" t="s">
        <v>24</v>
      </c>
      <c r="C167" s="3" t="s">
        <v>24</v>
      </c>
      <c r="D167" s="3">
        <v>-123631000</v>
      </c>
      <c r="E167" s="3">
        <v>-32874000</v>
      </c>
      <c r="F167" s="3">
        <v>-7253000</v>
      </c>
      <c r="G167" s="3">
        <v>-56992000</v>
      </c>
      <c r="H167" s="3">
        <v>-5683000</v>
      </c>
      <c r="I167" s="3" t="s">
        <v>24</v>
      </c>
      <c r="J167" s="3" t="s">
        <v>24</v>
      </c>
      <c r="K167" s="3">
        <v>-15855000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71799000</v>
      </c>
      <c r="C169" s="3">
        <v>140000</v>
      </c>
      <c r="D169" s="3">
        <v>47919000</v>
      </c>
      <c r="E169" s="3">
        <v>50000</v>
      </c>
      <c r="F169" s="3" t="s">
        <v>24</v>
      </c>
      <c r="G169" s="3">
        <v>75000</v>
      </c>
      <c r="H169" s="3">
        <v>37000</v>
      </c>
      <c r="I169" s="3" t="s">
        <v>24</v>
      </c>
      <c r="J169" s="3">
        <v>-3230000</v>
      </c>
      <c r="K169" s="3">
        <v>-3480000</v>
      </c>
      <c r="L169" s="3">
        <v>-3415000</v>
      </c>
      <c r="M169" s="3">
        <v>-7447000</v>
      </c>
      <c r="N169" s="3">
        <v>-5805000</v>
      </c>
      <c r="O169" s="4">
        <v>-6125000</v>
      </c>
      <c r="P169" s="3">
        <v>1000</v>
      </c>
      <c r="Q169" s="3">
        <v>-7575000</v>
      </c>
      <c r="R169" s="3">
        <v>1449000</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110637000</v>
      </c>
      <c r="C171" s="3">
        <v>-51701000</v>
      </c>
      <c r="D171" s="3">
        <v>-65670000</v>
      </c>
      <c r="E171" s="3">
        <v>-34971000</v>
      </c>
      <c r="F171" s="3">
        <v>-19843000</v>
      </c>
      <c r="G171" s="3">
        <v>-81916000</v>
      </c>
      <c r="H171" s="3">
        <v>-27615000</v>
      </c>
      <c r="I171" s="3">
        <v>-20605000</v>
      </c>
      <c r="J171" s="3">
        <v>-14119000</v>
      </c>
      <c r="K171" s="3">
        <v>-42760000</v>
      </c>
      <c r="L171" s="3">
        <v>-24583000</v>
      </c>
      <c r="M171" s="3">
        <v>137850000</v>
      </c>
      <c r="N171" s="3">
        <v>-5671000</v>
      </c>
      <c r="O171" s="4">
        <v>-14223000</v>
      </c>
      <c r="P171" s="3">
        <v>-1249000</v>
      </c>
      <c r="Q171" s="3">
        <v>-10590000</v>
      </c>
      <c r="R171" s="3">
        <v>-1297000</v>
      </c>
      <c r="S171" s="3">
        <v>-1087000</v>
      </c>
    </row>
    <row r="172" spans="1:19" ht="16" x14ac:dyDescent="0.2">
      <c r="A172" s="2" t="s">
        <v>173</v>
      </c>
      <c r="B172" s="3">
        <v>-3579000</v>
      </c>
      <c r="C172" s="3">
        <v>-3140000</v>
      </c>
      <c r="D172" s="3">
        <v>-2803000</v>
      </c>
      <c r="E172" s="3">
        <v>-2824000</v>
      </c>
      <c r="F172" s="3">
        <v>-2714000</v>
      </c>
      <c r="G172" s="3">
        <v>-2508000</v>
      </c>
      <c r="H172" s="3">
        <v>-2489000</v>
      </c>
      <c r="I172" s="3">
        <v>-1238000</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-50000000</v>
      </c>
      <c r="C173" s="3">
        <v>-8000000</v>
      </c>
      <c r="D173" s="3">
        <v>-13466000</v>
      </c>
      <c r="E173" s="3">
        <v>-26352000</v>
      </c>
      <c r="F173" s="3">
        <v>160000000</v>
      </c>
      <c r="G173" s="3">
        <v>195000000</v>
      </c>
      <c r="H173" s="3">
        <v>-14000000</v>
      </c>
      <c r="I173" s="3">
        <v>140000000</v>
      </c>
      <c r="J173" s="3">
        <v>61000000</v>
      </c>
      <c r="K173" s="3">
        <v>148000000</v>
      </c>
      <c r="L173" s="3">
        <v>-235000000</v>
      </c>
      <c r="M173" s="3">
        <v>846000000</v>
      </c>
      <c r="N173" s="3">
        <v>-387500000</v>
      </c>
      <c r="O173" s="4">
        <v>-262250000</v>
      </c>
      <c r="P173" s="3">
        <v>-103750000</v>
      </c>
      <c r="Q173" s="3">
        <v>66250000</v>
      </c>
      <c r="R173" s="3">
        <v>3250000</v>
      </c>
      <c r="S173" s="3">
        <v>-228000000</v>
      </c>
    </row>
    <row r="174" spans="1:19" ht="16" x14ac:dyDescent="0.2">
      <c r="A174" s="2" t="s">
        <v>175</v>
      </c>
      <c r="B174" s="3">
        <v>245000000</v>
      </c>
      <c r="C174" s="3" t="s">
        <v>24</v>
      </c>
      <c r="D174" s="3" t="s">
        <v>24</v>
      </c>
      <c r="E174" s="3">
        <v>60000000</v>
      </c>
      <c r="F174" s="3">
        <v>290000000</v>
      </c>
      <c r="G174" s="3">
        <v>498000000</v>
      </c>
      <c r="H174" s="3">
        <v>244000000</v>
      </c>
      <c r="I174" s="3">
        <v>380000000</v>
      </c>
      <c r="J174" s="3">
        <v>1254000000</v>
      </c>
      <c r="K174" s="3">
        <v>458000000</v>
      </c>
      <c r="L174" s="3">
        <v>876000000</v>
      </c>
      <c r="M174" s="3">
        <v>1364000000</v>
      </c>
      <c r="N174" s="3">
        <v>1589000000</v>
      </c>
      <c r="O174" s="4">
        <v>29000000</v>
      </c>
      <c r="P174" s="3">
        <v>29000000</v>
      </c>
      <c r="Q174" s="3">
        <v>169000000</v>
      </c>
      <c r="R174" s="3">
        <v>59000000</v>
      </c>
      <c r="S174" s="3">
        <v>-228000000</v>
      </c>
    </row>
    <row r="175" spans="1:19" ht="16" x14ac:dyDescent="0.2">
      <c r="A175" s="2" t="s">
        <v>176</v>
      </c>
      <c r="B175" s="3">
        <v>-295000000</v>
      </c>
      <c r="C175" s="3">
        <v>-8000000</v>
      </c>
      <c r="D175" s="3">
        <v>-13466000</v>
      </c>
      <c r="E175" s="3">
        <v>-86352000</v>
      </c>
      <c r="F175" s="3">
        <v>-130000000</v>
      </c>
      <c r="G175" s="3">
        <v>-303000000</v>
      </c>
      <c r="H175" s="3">
        <v>-258000000</v>
      </c>
      <c r="I175" s="3">
        <v>-240000000</v>
      </c>
      <c r="J175" s="3">
        <v>-1193000000</v>
      </c>
      <c r="K175" s="3">
        <v>-310000000</v>
      </c>
      <c r="L175" s="3">
        <v>-1111000000</v>
      </c>
      <c r="M175" s="3">
        <v>-518000000</v>
      </c>
      <c r="N175" s="3">
        <v>-1976500000</v>
      </c>
      <c r="O175" s="4">
        <v>-291250000</v>
      </c>
      <c r="P175" s="3">
        <v>-132750000</v>
      </c>
      <c r="Q175" s="3">
        <v>-102750000</v>
      </c>
      <c r="R175" s="3">
        <v>-55750000</v>
      </c>
      <c r="S175" s="3" t="s">
        <v>24</v>
      </c>
    </row>
    <row r="176" spans="1:19" ht="16" x14ac:dyDescent="0.2">
      <c r="A176" s="2" t="s">
        <v>177</v>
      </c>
      <c r="B176" s="3">
        <v>-194709000</v>
      </c>
      <c r="C176" s="3">
        <v>-83809000</v>
      </c>
      <c r="D176" s="3">
        <v>-120263000</v>
      </c>
      <c r="E176" s="3">
        <v>-52496000</v>
      </c>
      <c r="F176" s="3">
        <v>-210485000</v>
      </c>
      <c r="G176" s="3">
        <v>-112461000</v>
      </c>
      <c r="H176" s="3">
        <v>-120571000</v>
      </c>
      <c r="I176" s="3">
        <v>-173155000</v>
      </c>
      <c r="J176" s="3">
        <v>-331573000</v>
      </c>
      <c r="K176" s="3">
        <v>-206106000</v>
      </c>
      <c r="L176" s="3">
        <v>-192965000</v>
      </c>
      <c r="M176" s="3">
        <v>-874179000</v>
      </c>
      <c r="N176" s="3">
        <v>-1104180000</v>
      </c>
      <c r="O176" s="4">
        <v>-341311000</v>
      </c>
      <c r="P176" s="3">
        <v>-56153000</v>
      </c>
      <c r="Q176" s="3">
        <v>-75004000</v>
      </c>
      <c r="R176" s="3">
        <v>-109286000</v>
      </c>
      <c r="S176" s="3">
        <v>-100868000</v>
      </c>
    </row>
    <row r="177" spans="1:19" ht="16" x14ac:dyDescent="0.2">
      <c r="A177" s="2" t="s">
        <v>178</v>
      </c>
      <c r="B177" s="3">
        <v>1410000</v>
      </c>
      <c r="C177" s="3">
        <v>7613000</v>
      </c>
      <c r="D177" s="3">
        <v>70793000</v>
      </c>
      <c r="E177" s="3">
        <v>30256000</v>
      </c>
      <c r="F177" s="3">
        <v>6554000</v>
      </c>
      <c r="G177" s="3">
        <v>18258000</v>
      </c>
      <c r="H177" s="3">
        <v>17828000</v>
      </c>
      <c r="I177" s="3">
        <v>14474000</v>
      </c>
      <c r="J177" s="3">
        <v>11023000</v>
      </c>
      <c r="K177" s="3">
        <v>22788000</v>
      </c>
      <c r="L177" s="3">
        <v>42258000</v>
      </c>
      <c r="M177" s="3" t="s">
        <v>24</v>
      </c>
      <c r="N177" s="3" t="s">
        <v>24</v>
      </c>
      <c r="O177" s="4" t="s">
        <v>24</v>
      </c>
      <c r="P177" s="3" t="s">
        <v>24</v>
      </c>
      <c r="Q177" s="3" t="s">
        <v>24</v>
      </c>
      <c r="R177" s="3" t="s">
        <v>24</v>
      </c>
      <c r="S177" s="3" t="s">
        <v>24</v>
      </c>
    </row>
    <row r="178" spans="1:19" ht="16" x14ac:dyDescent="0.2">
      <c r="A178" s="2" t="s">
        <v>179</v>
      </c>
      <c r="B178" s="3">
        <v>-196119000</v>
      </c>
      <c r="C178" s="3">
        <v>-91422000</v>
      </c>
      <c r="D178" s="3">
        <v>-191056000</v>
      </c>
      <c r="E178" s="3">
        <v>-82752000</v>
      </c>
      <c r="F178" s="3">
        <v>-217039000</v>
      </c>
      <c r="G178" s="3">
        <v>-130719000</v>
      </c>
      <c r="H178" s="3">
        <v>-138399000</v>
      </c>
      <c r="I178" s="3">
        <v>-187629000</v>
      </c>
      <c r="J178" s="3">
        <v>-342596000</v>
      </c>
      <c r="K178" s="3">
        <v>-228894000</v>
      </c>
      <c r="L178" s="3">
        <v>-235223000</v>
      </c>
      <c r="M178" s="3">
        <v>-874179000</v>
      </c>
      <c r="N178" s="3">
        <v>-1104180000</v>
      </c>
      <c r="O178" s="4">
        <v>-341311000</v>
      </c>
      <c r="P178" s="3">
        <v>-56153000</v>
      </c>
      <c r="Q178" s="3">
        <v>-75004000</v>
      </c>
      <c r="R178" s="3">
        <v>-109286000</v>
      </c>
      <c r="S178" s="3">
        <v>-100868000</v>
      </c>
    </row>
    <row r="179" spans="1:19" ht="16" x14ac:dyDescent="0.2">
      <c r="A179" s="2" t="s">
        <v>180</v>
      </c>
      <c r="B179" s="3">
        <v>-185000</v>
      </c>
      <c r="C179" s="3">
        <v>928000</v>
      </c>
      <c r="D179" s="3">
        <v>8079000</v>
      </c>
      <c r="E179" s="3">
        <v>-4962000</v>
      </c>
      <c r="F179" s="3">
        <v>-77192000</v>
      </c>
      <c r="G179" s="3">
        <v>-138666000</v>
      </c>
      <c r="H179" s="3">
        <v>-27918000</v>
      </c>
      <c r="I179" s="3">
        <v>-146232000</v>
      </c>
      <c r="J179" s="3">
        <v>51946000</v>
      </c>
      <c r="K179" s="3">
        <v>-141941000</v>
      </c>
      <c r="L179" s="3">
        <v>138541000</v>
      </c>
      <c r="M179" s="3">
        <v>-495392000</v>
      </c>
      <c r="N179" s="3">
        <v>944515000</v>
      </c>
      <c r="O179" s="4">
        <v>175416000</v>
      </c>
      <c r="P179" s="3">
        <v>2994000</v>
      </c>
      <c r="Q179" s="3">
        <v>-70870000</v>
      </c>
      <c r="R179" s="3">
        <v>12415000</v>
      </c>
      <c r="S179" s="3">
        <v>230877000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-248473000</v>
      </c>
      <c r="C181" s="3">
        <v>-94021000</v>
      </c>
      <c r="D181" s="3">
        <v>-128453000</v>
      </c>
      <c r="E181" s="3">
        <v>-86634000</v>
      </c>
      <c r="F181" s="3">
        <v>-130391000</v>
      </c>
      <c r="G181" s="3">
        <v>-58635000</v>
      </c>
      <c r="H181" s="3">
        <v>-164978000</v>
      </c>
      <c r="I181" s="3">
        <v>-180625000</v>
      </c>
      <c r="J181" s="3">
        <v>-218627000</v>
      </c>
      <c r="K181" s="3">
        <v>-200047000</v>
      </c>
      <c r="L181" s="3">
        <v>-289424000</v>
      </c>
      <c r="M181" s="3">
        <v>-523571000</v>
      </c>
      <c r="N181" s="3">
        <v>-547165000</v>
      </c>
      <c r="O181" s="4">
        <v>-428145000</v>
      </c>
      <c r="P181" s="3">
        <v>-156909000</v>
      </c>
      <c r="Q181" s="3">
        <v>-79624000</v>
      </c>
      <c r="R181" s="3">
        <v>-93621000</v>
      </c>
      <c r="S181" s="3">
        <v>-97991000</v>
      </c>
    </row>
    <row r="182" spans="1:19" ht="16" x14ac:dyDescent="0.2">
      <c r="A182" s="2" t="s">
        <v>182</v>
      </c>
      <c r="B182" s="3">
        <v>98000</v>
      </c>
      <c r="C182" s="3">
        <v>-881000</v>
      </c>
      <c r="D182" s="3">
        <v>234000</v>
      </c>
      <c r="E182" s="3">
        <v>-2946000</v>
      </c>
      <c r="F182" s="3">
        <v>-2903000</v>
      </c>
      <c r="G182" s="3">
        <v>-11381000</v>
      </c>
      <c r="H182" s="3">
        <v>-2832000</v>
      </c>
      <c r="I182" s="3">
        <v>5278000</v>
      </c>
      <c r="J182" s="3">
        <v>-5901000</v>
      </c>
      <c r="K182" s="3">
        <v>-1140000</v>
      </c>
      <c r="L182" s="3">
        <v>59000</v>
      </c>
      <c r="M182" s="3">
        <v>-136000</v>
      </c>
      <c r="N182" s="3">
        <v>-18766000</v>
      </c>
      <c r="O182" s="4">
        <v>636000</v>
      </c>
      <c r="P182" s="3">
        <v>-8528000</v>
      </c>
      <c r="Q182" s="3">
        <v>4428000</v>
      </c>
      <c r="R182" s="3">
        <v>3029000</v>
      </c>
      <c r="S182" s="3">
        <v>1707000</v>
      </c>
    </row>
    <row r="183" spans="1:19" ht="16" x14ac:dyDescent="0.2">
      <c r="A183" s="2" t="s">
        <v>183</v>
      </c>
      <c r="B183" s="3">
        <v>-32056000</v>
      </c>
      <c r="C183" s="3">
        <v>-9566000</v>
      </c>
      <c r="D183" s="3">
        <v>-64377000</v>
      </c>
      <c r="E183" s="3">
        <v>14515000</v>
      </c>
      <c r="F183" s="3">
        <v>24800000</v>
      </c>
      <c r="G183" s="3">
        <v>-7574000</v>
      </c>
      <c r="H183" s="3">
        <v>-7362000</v>
      </c>
      <c r="I183" s="3">
        <v>24414000</v>
      </c>
      <c r="J183" s="3">
        <v>-9694000</v>
      </c>
      <c r="K183" s="3">
        <v>17543000</v>
      </c>
      <c r="L183" s="3">
        <v>50909000</v>
      </c>
      <c r="M183" s="3">
        <v>38096000</v>
      </c>
      <c r="N183" s="3">
        <v>-43386000</v>
      </c>
      <c r="O183" s="4">
        <v>7324000</v>
      </c>
      <c r="P183" s="3">
        <v>-13332000</v>
      </c>
      <c r="Q183" s="3">
        <v>2226000</v>
      </c>
      <c r="R183" s="3">
        <v>-5114000</v>
      </c>
      <c r="S183" s="3">
        <v>23544000</v>
      </c>
    </row>
    <row r="184" spans="1:19" ht="16" x14ac:dyDescent="0.2">
      <c r="A184" s="2" t="s">
        <v>54</v>
      </c>
      <c r="B184" s="3">
        <v>145884000</v>
      </c>
      <c r="C184" s="3">
        <v>163925000</v>
      </c>
      <c r="D184" s="3">
        <v>195032000</v>
      </c>
      <c r="E184" s="3">
        <v>198293000</v>
      </c>
      <c r="F184" s="3">
        <v>198781000</v>
      </c>
      <c r="G184" s="3">
        <v>189636000</v>
      </c>
      <c r="H184" s="3">
        <v>201225000</v>
      </c>
      <c r="I184" s="3">
        <v>217885000</v>
      </c>
      <c r="J184" s="3">
        <v>236619000</v>
      </c>
      <c r="K184" s="3">
        <v>285160000</v>
      </c>
      <c r="L184" s="3">
        <v>371365000</v>
      </c>
      <c r="M184" s="3">
        <v>438899000</v>
      </c>
      <c r="N184" s="3">
        <v>562879000</v>
      </c>
      <c r="O184" s="4">
        <v>625634000</v>
      </c>
      <c r="P184" s="3">
        <v>138802000</v>
      </c>
      <c r="Q184" s="3">
        <v>142678000</v>
      </c>
      <c r="R184" s="3">
        <v>163775000</v>
      </c>
      <c r="S184" s="3">
        <v>180379000</v>
      </c>
    </row>
    <row r="185" spans="1:19" ht="16" x14ac:dyDescent="0.2">
      <c r="A185" s="2" t="s">
        <v>55</v>
      </c>
      <c r="B185" s="5">
        <v>24.09</v>
      </c>
      <c r="C185" s="5">
        <v>26.45</v>
      </c>
      <c r="D185" s="5">
        <v>28.83</v>
      </c>
      <c r="E185" s="5">
        <v>26.67</v>
      </c>
      <c r="F185" s="5">
        <v>25.19</v>
      </c>
      <c r="G185" s="5">
        <v>22.61</v>
      </c>
      <c r="H185" s="5">
        <v>22.83</v>
      </c>
      <c r="I185" s="5">
        <v>23.37</v>
      </c>
      <c r="J185" s="5">
        <v>22.92</v>
      </c>
      <c r="K185" s="5">
        <v>24.58</v>
      </c>
      <c r="L185" s="5">
        <v>28.69</v>
      </c>
      <c r="M185" s="5">
        <v>33.340000000000003</v>
      </c>
      <c r="N185" s="5">
        <v>40.869999999999997</v>
      </c>
      <c r="O185" s="6">
        <v>42.49</v>
      </c>
      <c r="P185" s="5">
        <v>40.869999999999997</v>
      </c>
      <c r="Q185" s="5">
        <v>41.77</v>
      </c>
      <c r="R185" s="5">
        <v>41.54</v>
      </c>
      <c r="S185" s="5">
        <v>42.49</v>
      </c>
    </row>
    <row r="186" spans="1:19" ht="16" x14ac:dyDescent="0.2">
      <c r="A186" s="2" t="s">
        <v>184</v>
      </c>
      <c r="B186" s="3" t="s">
        <v>24</v>
      </c>
      <c r="C186" s="3" t="s">
        <v>24</v>
      </c>
      <c r="D186" s="3">
        <v>123631000</v>
      </c>
      <c r="E186" s="3">
        <v>32874000</v>
      </c>
      <c r="F186" s="3">
        <v>7253000</v>
      </c>
      <c r="G186" s="3">
        <v>56992000</v>
      </c>
      <c r="H186" s="3">
        <v>5683000</v>
      </c>
      <c r="I186" s="3" t="s">
        <v>24</v>
      </c>
      <c r="J186" s="3" t="s">
        <v>24</v>
      </c>
      <c r="K186" s="3">
        <v>15855000</v>
      </c>
      <c r="L186" s="3" t="s">
        <v>24</v>
      </c>
      <c r="M186" s="3">
        <v>-147431000</v>
      </c>
      <c r="N186" s="3" t="s">
        <v>24</v>
      </c>
      <c r="O186" s="4" t="s">
        <v>24</v>
      </c>
      <c r="P186" s="3" t="s">
        <v>24</v>
      </c>
      <c r="Q186" s="3" t="s">
        <v>24</v>
      </c>
      <c r="R186" s="3" t="s">
        <v>24</v>
      </c>
      <c r="S186" s="3" t="s">
        <v>24</v>
      </c>
    </row>
    <row r="187" spans="1:19" ht="16" x14ac:dyDescent="0.2">
      <c r="A187" s="2" t="s">
        <v>185</v>
      </c>
      <c r="B187" s="3">
        <v>88327000</v>
      </c>
      <c r="C187" s="3">
        <v>122136000</v>
      </c>
      <c r="D187" s="3">
        <v>104263000</v>
      </c>
      <c r="E187" s="3">
        <v>111973000</v>
      </c>
      <c r="F187" s="3">
        <v>162444000</v>
      </c>
      <c r="G187" s="3">
        <v>107978000</v>
      </c>
      <c r="H187" s="3">
        <v>163262000</v>
      </c>
      <c r="I187" s="3">
        <v>205816000</v>
      </c>
      <c r="J187" s="3">
        <v>191753000</v>
      </c>
      <c r="K187" s="3">
        <v>236369000</v>
      </c>
      <c r="L187" s="3">
        <v>342927000</v>
      </c>
      <c r="M187" s="3">
        <v>416248000</v>
      </c>
      <c r="N187" s="3">
        <v>503421000</v>
      </c>
      <c r="O187" s="4">
        <v>445726000</v>
      </c>
      <c r="P187" s="3">
        <v>144029000</v>
      </c>
      <c r="Q187" s="3">
        <v>91590000</v>
      </c>
      <c r="R187" s="3">
        <v>88277000</v>
      </c>
      <c r="S187" s="3">
        <v>121830000</v>
      </c>
    </row>
    <row r="188" spans="1:19" ht="16" x14ac:dyDescent="0.2">
      <c r="A188" s="28" t="s">
        <v>186</v>
      </c>
      <c r="B188" s="26">
        <v>105173081</v>
      </c>
      <c r="C188" s="26">
        <v>145901149</v>
      </c>
      <c r="D188" s="26">
        <v>125692761</v>
      </c>
      <c r="E188" s="26">
        <v>132643435</v>
      </c>
      <c r="F188" s="26">
        <v>182790842</v>
      </c>
      <c r="G188" s="26">
        <v>131060932</v>
      </c>
      <c r="H188" s="26">
        <v>183424888</v>
      </c>
      <c r="I188" s="26">
        <v>227674544</v>
      </c>
      <c r="J188" s="26">
        <v>215470654</v>
      </c>
      <c r="K188" s="26">
        <v>271715150</v>
      </c>
      <c r="L188" s="26">
        <v>381725081</v>
      </c>
      <c r="M188" s="26">
        <v>449471497</v>
      </c>
      <c r="N188" s="26">
        <v>558081535</v>
      </c>
      <c r="O188" s="27">
        <v>518977758</v>
      </c>
      <c r="P188" s="26">
        <v>160739876</v>
      </c>
      <c r="Q188" s="26">
        <v>110472135</v>
      </c>
      <c r="R188" s="26">
        <v>105930001</v>
      </c>
      <c r="S188" s="26">
        <v>141859312</v>
      </c>
    </row>
    <row r="189" spans="1:19" ht="16" x14ac:dyDescent="0.2">
      <c r="A189" s="21" t="s">
        <v>199</v>
      </c>
      <c r="B189" s="22"/>
      <c r="C189" s="23">
        <f>(C188/B188)-1</f>
        <v>0.38724802594686758</v>
      </c>
      <c r="D189" s="23">
        <f>(D188/C188)-1</f>
        <v>-0.1385073944825479</v>
      </c>
      <c r="E189" s="23">
        <f>(E188/D188)-1</f>
        <v>5.5298920516194228E-2</v>
      </c>
      <c r="F189" s="23">
        <f t="shared" ref="F189:K189" si="24">(F188/E188)-1</f>
        <v>0.37806173369982465</v>
      </c>
      <c r="G189" s="23">
        <f t="shared" si="24"/>
        <v>-0.28300055645019673</v>
      </c>
      <c r="H189" s="23">
        <f t="shared" si="24"/>
        <v>0.39953901747013365</v>
      </c>
      <c r="I189" s="23">
        <f t="shared" si="24"/>
        <v>0.24124128673312861</v>
      </c>
      <c r="J189" s="23">
        <f t="shared" si="24"/>
        <v>-5.3602347392864402E-2</v>
      </c>
      <c r="K189" s="23">
        <f t="shared" si="24"/>
        <v>0.26103088729660606</v>
      </c>
      <c r="L189" s="23">
        <f t="shared" ref="L189" si="25">(L188/K188)-1</f>
        <v>0.40487227524854608</v>
      </c>
      <c r="M189" s="23">
        <f t="shared" ref="M189" si="26">(M188/L188)-1</f>
        <v>0.17747436406988415</v>
      </c>
      <c r="N189" s="23">
        <f t="shared" ref="N189" si="27">(N188/M188)-1</f>
        <v>0.24163943370139895</v>
      </c>
      <c r="O189" s="23">
        <f t="shared" ref="O189" si="28">(O188/N188)-1</f>
        <v>-7.006821503241456E-2</v>
      </c>
      <c r="P189" s="23"/>
      <c r="Q189" s="23">
        <f t="shared" ref="Q189" si="29">(Q188/P188)-1</f>
        <v>-0.31272726003596019</v>
      </c>
      <c r="R189" s="23">
        <f t="shared" ref="R189" si="30">(R188/Q188)-1</f>
        <v>-4.1115653282160269E-2</v>
      </c>
      <c r="S189" s="23">
        <f t="shared" ref="S189" si="31">(S188/R188)-1</f>
        <v>0.33917974757689273</v>
      </c>
    </row>
    <row r="190" spans="1:19" ht="16" x14ac:dyDescent="0.2">
      <c r="A190" s="24" t="s">
        <v>200</v>
      </c>
      <c r="B190" s="25">
        <f t="shared" ref="B190:S190" si="32">B188/B2</f>
        <v>0.17365524079366887</v>
      </c>
      <c r="C190" s="25">
        <f t="shared" si="32"/>
        <v>0.23544481452613675</v>
      </c>
      <c r="D190" s="25">
        <f t="shared" si="32"/>
        <v>0.18581976219022711</v>
      </c>
      <c r="E190" s="25">
        <f t="shared" si="32"/>
        <v>0.17841752035123021</v>
      </c>
      <c r="F190" s="25">
        <f t="shared" si="32"/>
        <v>0.23167847550967383</v>
      </c>
      <c r="G190" s="25">
        <f t="shared" si="32"/>
        <v>0.15625166998298723</v>
      </c>
      <c r="H190" s="25">
        <f t="shared" si="32"/>
        <v>0.20811668383717816</v>
      </c>
      <c r="I190" s="25">
        <f t="shared" si="32"/>
        <v>0.24424170295300529</v>
      </c>
      <c r="J190" s="25">
        <f t="shared" si="32"/>
        <v>0.20869333785321678</v>
      </c>
      <c r="K190" s="25">
        <f t="shared" si="32"/>
        <v>0.23422043939959469</v>
      </c>
      <c r="L190" s="25">
        <f t="shared" si="32"/>
        <v>0.29486813377806548</v>
      </c>
      <c r="M190" s="25">
        <f t="shared" si="32"/>
        <v>0.34140463838436624</v>
      </c>
      <c r="N190" s="25">
        <f t="shared" si="32"/>
        <v>0.40520851757462228</v>
      </c>
      <c r="O190" s="25">
        <f t="shared" si="32"/>
        <v>0.35242946219268056</v>
      </c>
      <c r="P190" s="25">
        <f t="shared" si="32"/>
        <v>0.46090551343663622</v>
      </c>
      <c r="Q190" s="25">
        <f t="shared" si="32"/>
        <v>0.3203297909357149</v>
      </c>
      <c r="R190" s="25">
        <f t="shared" si="32"/>
        <v>0.27856816281234714</v>
      </c>
      <c r="S190" s="25">
        <f t="shared" si="32"/>
        <v>0.35581535436230838</v>
      </c>
    </row>
    <row r="191" spans="1:19" ht="16" x14ac:dyDescent="0.2">
      <c r="A191" s="2" t="s">
        <v>187</v>
      </c>
      <c r="B191" s="3">
        <v>40509000</v>
      </c>
      <c r="C191" s="3">
        <v>114136000</v>
      </c>
      <c r="D191" s="3">
        <v>90797000</v>
      </c>
      <c r="E191" s="3">
        <v>85621000</v>
      </c>
      <c r="F191" s="3">
        <v>322444000</v>
      </c>
      <c r="G191" s="3">
        <v>302978000</v>
      </c>
      <c r="H191" s="3">
        <v>149262000</v>
      </c>
      <c r="I191" s="3">
        <v>345816000</v>
      </c>
      <c r="J191" s="3">
        <v>252753000</v>
      </c>
      <c r="K191" s="3">
        <v>384369000</v>
      </c>
      <c r="L191" s="3">
        <v>107927000</v>
      </c>
      <c r="M191" s="3">
        <v>1262248000</v>
      </c>
      <c r="N191" s="3">
        <v>115921000</v>
      </c>
      <c r="O191" s="4">
        <v>183476000</v>
      </c>
      <c r="P191" s="3">
        <v>40279000</v>
      </c>
      <c r="Q191" s="3">
        <v>157840000</v>
      </c>
      <c r="R191" s="3">
        <v>91527000</v>
      </c>
      <c r="S191" s="3">
        <v>-106170000</v>
      </c>
    </row>
    <row r="192" spans="1:19" ht="16" x14ac:dyDescent="0.2">
      <c r="A192" s="2" t="s">
        <v>188</v>
      </c>
      <c r="B192" s="5">
        <v>1.97</v>
      </c>
      <c r="C192" s="5">
        <v>3.1</v>
      </c>
      <c r="D192" s="5">
        <v>2.99</v>
      </c>
      <c r="E192" s="5">
        <v>3.17</v>
      </c>
      <c r="F192" s="5">
        <v>4.8</v>
      </c>
      <c r="G192" s="5">
        <v>3.44</v>
      </c>
      <c r="H192" s="5">
        <v>5.24</v>
      </c>
      <c r="I192" s="5">
        <v>6.67</v>
      </c>
      <c r="J192" s="5">
        <v>6.45</v>
      </c>
      <c r="K192" s="5">
        <v>8.16</v>
      </c>
      <c r="L192" s="5">
        <v>11.8</v>
      </c>
      <c r="M192" s="5">
        <v>14.49</v>
      </c>
      <c r="N192" s="5">
        <v>19.329999999999998</v>
      </c>
      <c r="O192" s="6">
        <v>17.77</v>
      </c>
      <c r="P192" s="5">
        <v>5.71</v>
      </c>
      <c r="Q192" s="5">
        <v>3.66</v>
      </c>
      <c r="R192" s="5">
        <v>3.51</v>
      </c>
      <c r="S192" s="5">
        <v>4.88</v>
      </c>
    </row>
    <row r="193" spans="1:19" ht="16" x14ac:dyDescent="0.2">
      <c r="A193" s="2" t="s">
        <v>189</v>
      </c>
      <c r="B193" s="5">
        <v>9.07</v>
      </c>
      <c r="C193" s="5">
        <v>5.81</v>
      </c>
      <c r="D193" s="5">
        <v>10.28</v>
      </c>
      <c r="E193" s="5">
        <v>12.52</v>
      </c>
      <c r="F193" s="5">
        <v>10.24</v>
      </c>
      <c r="G193" s="5">
        <v>17.440000000000001</v>
      </c>
      <c r="H193" s="5">
        <v>19.43</v>
      </c>
      <c r="I193" s="5">
        <v>18.46</v>
      </c>
      <c r="J193" s="5">
        <v>28.02</v>
      </c>
      <c r="K193" s="5">
        <v>32.340000000000003</v>
      </c>
      <c r="L193" s="5">
        <v>32.909999999999997</v>
      </c>
      <c r="M193" s="5">
        <v>26.99</v>
      </c>
      <c r="N193" s="5">
        <v>21.06</v>
      </c>
      <c r="O193" s="6">
        <v>45.38</v>
      </c>
      <c r="P193" s="5">
        <v>21.09</v>
      </c>
      <c r="Q193" s="5">
        <v>32.159999999999997</v>
      </c>
      <c r="R193" s="5">
        <v>40.17</v>
      </c>
      <c r="S193" s="5">
        <v>45.46</v>
      </c>
    </row>
    <row r="194" spans="1:19" ht="16" x14ac:dyDescent="0.2">
      <c r="A194" s="2" t="s">
        <v>190</v>
      </c>
      <c r="B194" s="5">
        <v>1.64</v>
      </c>
      <c r="C194" s="5">
        <v>1.9</v>
      </c>
      <c r="D194" s="5">
        <v>1.41</v>
      </c>
      <c r="E194" s="5">
        <v>1.51</v>
      </c>
      <c r="F194" s="5">
        <v>1.84</v>
      </c>
      <c r="G194" s="5">
        <v>1.54</v>
      </c>
      <c r="H194" s="5">
        <v>1.69</v>
      </c>
      <c r="I194" s="5">
        <v>1.76</v>
      </c>
      <c r="J194" s="5">
        <v>1.57</v>
      </c>
      <c r="K194" s="5">
        <v>1.36</v>
      </c>
      <c r="L194" s="5">
        <v>1.54</v>
      </c>
      <c r="M194" s="5">
        <v>1.08</v>
      </c>
      <c r="N194" s="5">
        <v>1.36</v>
      </c>
      <c r="O194" s="6">
        <v>1.07</v>
      </c>
      <c r="P194" s="5">
        <v>1.6</v>
      </c>
      <c r="Q194" s="5">
        <v>0.95</v>
      </c>
      <c r="R194" s="5">
        <v>0.88</v>
      </c>
      <c r="S194" s="5">
        <v>0.95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P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2DEB-CF18-6249-AA31-FD02A106FEB1}">
  <dimension ref="A1:S110"/>
  <sheetViews>
    <sheetView tabSelected="1" workbookViewId="0">
      <selection activeCell="G21" sqref="G21"/>
    </sheetView>
  </sheetViews>
  <sheetFormatPr baseColWidth="10" defaultRowHeight="15" x14ac:dyDescent="0.2"/>
  <cols>
    <col min="1" max="19" width="18.83203125" customWidth="1"/>
  </cols>
  <sheetData>
    <row r="1" spans="1:19" s="117" customFormat="1" ht="22" customHeight="1" x14ac:dyDescent="0.2">
      <c r="A1" s="116" t="e" vm="1">
        <v>#VALUE!</v>
      </c>
      <c r="B1" s="116"/>
      <c r="C1" s="116"/>
      <c r="D1" s="116"/>
      <c r="E1" s="116"/>
      <c r="F1" s="116"/>
      <c r="G1" s="116"/>
      <c r="H1" s="116"/>
      <c r="I1" s="116"/>
      <c r="J1" s="116"/>
      <c r="K1" s="116"/>
      <c r="L1" s="116"/>
      <c r="M1" s="116"/>
      <c r="N1" s="116"/>
      <c r="O1" s="116"/>
      <c r="P1" s="116"/>
      <c r="Q1" s="116"/>
      <c r="R1" s="116"/>
      <c r="S1" s="116"/>
    </row>
    <row r="2" spans="1:19" s="117" customFormat="1" ht="22" customHeight="1" thickBot="1" x14ac:dyDescent="0.25">
      <c r="A2" s="116"/>
      <c r="B2" s="116"/>
      <c r="C2" s="116"/>
      <c r="D2" s="116"/>
      <c r="E2" s="116"/>
      <c r="F2" s="116"/>
      <c r="G2" s="116"/>
      <c r="H2" s="116"/>
      <c r="I2" s="116"/>
      <c r="J2" s="116"/>
      <c r="K2" s="116"/>
      <c r="L2" s="116"/>
      <c r="M2" s="116"/>
      <c r="N2" s="116"/>
      <c r="O2" s="116"/>
      <c r="P2" s="116"/>
      <c r="Q2" s="116"/>
      <c r="R2" s="116"/>
      <c r="S2" s="116"/>
    </row>
    <row r="3" spans="1:19" ht="22" customHeight="1" x14ac:dyDescent="0.2">
      <c r="A3" s="35" cm="1">
        <f t="array" ref="A3">_FV(A1,"Market cap",TRUE)</f>
        <v>27869720000</v>
      </c>
      <c r="B3" s="36" t="s">
        <v>204</v>
      </c>
      <c r="C3" s="97">
        <f>Financials!O8*0.01</f>
        <v>0.78900000000000003</v>
      </c>
      <c r="D3" s="36" t="s">
        <v>205</v>
      </c>
      <c r="E3" s="97">
        <f>SUM(C11:E11)/3</f>
        <v>5.4012717353345861E-2</v>
      </c>
      <c r="F3" s="37" t="s">
        <v>206</v>
      </c>
      <c r="G3" s="38">
        <f>AVERAGE(Financials!M129:S129)</f>
        <v>-2.1487754880384551E-2</v>
      </c>
      <c r="H3" s="37" t="s">
        <v>207</v>
      </c>
      <c r="I3" s="101">
        <f>J15*(1+I7)/(I6-I7)</f>
        <v>19400242212.24453</v>
      </c>
      <c r="J3" s="39" t="s">
        <v>208</v>
      </c>
      <c r="K3" s="105">
        <f>(Financials!O172*-1)/Model!A3</f>
        <v>0</v>
      </c>
      <c r="L3" s="40" t="s">
        <v>209</v>
      </c>
      <c r="M3" s="41"/>
      <c r="N3" s="118" t="s">
        <v>210</v>
      </c>
      <c r="O3" s="119"/>
      <c r="P3" s="41"/>
      <c r="Q3" s="41"/>
      <c r="R3" s="41"/>
    </row>
    <row r="4" spans="1:19" ht="22" customHeight="1" x14ac:dyDescent="0.2">
      <c r="A4" s="42">
        <f>Financials!O56-Financials!O96-Financials!O105</f>
        <v>-1791257000</v>
      </c>
      <c r="B4" s="43" t="s">
        <v>211</v>
      </c>
      <c r="C4" s="98">
        <f>Financials!O17*0.01</f>
        <v>0.41380000000000006</v>
      </c>
      <c r="D4" s="43" t="s">
        <v>212</v>
      </c>
      <c r="E4" s="98">
        <f>SUM(C13:E13)/3</f>
        <v>0.25292064264192032</v>
      </c>
      <c r="F4" s="44" t="s">
        <v>213</v>
      </c>
      <c r="G4" s="45">
        <f>A5*(1+(5*G3))</f>
        <v>22058365.402491618</v>
      </c>
      <c r="H4" s="44" t="s">
        <v>214</v>
      </c>
      <c r="I4" s="102">
        <f>NPV(I6,F15,G15,H15,I15,(J15+I3))</f>
        <v>16075757971.716721</v>
      </c>
      <c r="J4" s="44" t="s">
        <v>215</v>
      </c>
      <c r="K4" s="103" cm="1">
        <f t="array" ref="K4">_FV(A1,"Change (%)",TRUE)</f>
        <v>3.7643000000000003E-2</v>
      </c>
      <c r="L4" s="46" t="s">
        <v>216</v>
      </c>
      <c r="M4" s="41"/>
      <c r="N4" s="120" t="s">
        <v>217</v>
      </c>
      <c r="O4" s="121"/>
      <c r="P4" s="41"/>
      <c r="Q4" s="41"/>
      <c r="R4" s="41"/>
    </row>
    <row r="5" spans="1:19" ht="22" customHeight="1" x14ac:dyDescent="0.2">
      <c r="A5" s="42" cm="1">
        <f t="array" ref="A5">_FV(A1,"Shares outstanding",TRUE)</f>
        <v>24713560</v>
      </c>
      <c r="B5" s="43" t="s">
        <v>218</v>
      </c>
      <c r="C5" s="98">
        <f>F14</f>
        <v>0.34699940582293526</v>
      </c>
      <c r="D5" s="47" t="s">
        <v>219</v>
      </c>
      <c r="E5" s="98">
        <f>SUM(C16:E16)/3</f>
        <v>0.1983207724587035</v>
      </c>
      <c r="F5" s="44" t="s">
        <v>220</v>
      </c>
      <c r="G5" s="45">
        <f>Financials!O56</f>
        <v>163022000</v>
      </c>
      <c r="H5" s="44" t="s">
        <v>221</v>
      </c>
      <c r="I5" s="102">
        <f>I4+G5-G6</f>
        <v>14284500971.716721</v>
      </c>
      <c r="J5" s="44" t="s">
        <v>222</v>
      </c>
      <c r="K5" s="108" cm="1">
        <f t="array" ref="K5">_FV(A1,"Price")</f>
        <v>1128.54</v>
      </c>
      <c r="L5" s="48" t="s">
        <v>223</v>
      </c>
      <c r="M5" s="41"/>
      <c r="N5" s="49" t="s">
        <v>224</v>
      </c>
      <c r="O5" s="50">
        <f>Financials!O20</f>
        <v>92082000</v>
      </c>
      <c r="P5" s="41"/>
      <c r="Q5" s="41"/>
      <c r="R5" s="41"/>
    </row>
    <row r="6" spans="1:19" ht="22" customHeight="1" x14ac:dyDescent="0.2">
      <c r="A6" s="51">
        <f>O20/F10</f>
        <v>16.55954842543078</v>
      </c>
      <c r="B6" s="43" t="s">
        <v>225</v>
      </c>
      <c r="C6" s="98">
        <f>F17</f>
        <v>0.42424242424242425</v>
      </c>
      <c r="D6" s="47" t="s">
        <v>200</v>
      </c>
      <c r="E6" s="98">
        <f>Financials!O33/Financials!O126</f>
        <v>-0.59469356909894655</v>
      </c>
      <c r="F6" s="43" t="s">
        <v>226</v>
      </c>
      <c r="G6" s="45">
        <f>Financials!O96+Financials!O105</f>
        <v>1954279000</v>
      </c>
      <c r="H6" s="44" t="s">
        <v>227</v>
      </c>
      <c r="I6" s="103">
        <f>N25</f>
        <v>9.3684709470224448E-2</v>
      </c>
      <c r="J6" s="44" t="s">
        <v>228</v>
      </c>
      <c r="K6" s="106">
        <f>I5/G4</f>
        <v>647.57749321276572</v>
      </c>
      <c r="L6" s="52" t="s">
        <v>229</v>
      </c>
      <c r="M6" s="41"/>
      <c r="N6" s="49" t="s">
        <v>230</v>
      </c>
      <c r="O6" s="50">
        <f>Financials!O96</f>
        <v>115000000</v>
      </c>
      <c r="P6" s="41"/>
      <c r="Q6" s="41"/>
      <c r="R6" s="41"/>
    </row>
    <row r="7" spans="1:19" ht="22" customHeight="1" thickBot="1" x14ac:dyDescent="0.25">
      <c r="A7" s="53">
        <f>O20/F12</f>
        <v>47.722123287671231</v>
      </c>
      <c r="B7" s="54" t="s">
        <v>231</v>
      </c>
      <c r="C7" s="99">
        <f>F15/A3</f>
        <v>2.5619202489296628E-2</v>
      </c>
      <c r="D7" s="54" t="s">
        <v>232</v>
      </c>
      <c r="E7" s="100">
        <f>(Financials!O16*(1-0.25))/(Financials!O126+Financials!O105+Financials!O96)</f>
        <v>0.36551899819483757</v>
      </c>
      <c r="F7" s="54" t="s">
        <v>196</v>
      </c>
      <c r="G7" s="55">
        <f>(Financials!O96+Financials!O105)/Financials!O126</f>
        <v>-2.7760591270156936</v>
      </c>
      <c r="H7" s="56" t="s">
        <v>233</v>
      </c>
      <c r="I7" s="104">
        <v>2.5000000000000001E-2</v>
      </c>
      <c r="J7" s="57" t="s">
        <v>234</v>
      </c>
      <c r="K7" s="107">
        <f>K6/K5-1</f>
        <v>-0.4261811781480801</v>
      </c>
      <c r="L7" s="58" t="s">
        <v>235</v>
      </c>
      <c r="M7" s="41"/>
      <c r="N7" s="49" t="s">
        <v>236</v>
      </c>
      <c r="O7" s="50">
        <f>Financials!O105</f>
        <v>1839279000</v>
      </c>
      <c r="P7" s="41"/>
      <c r="Q7" s="41"/>
      <c r="R7" s="41"/>
    </row>
    <row r="8" spans="1:19" ht="22" customHeight="1" x14ac:dyDescent="0.2">
      <c r="A8" s="59"/>
      <c r="B8" s="41"/>
      <c r="C8" s="41"/>
      <c r="D8" s="41"/>
      <c r="E8" s="41"/>
      <c r="F8" s="109"/>
      <c r="G8" s="109"/>
      <c r="H8" s="109"/>
      <c r="I8" s="109"/>
      <c r="J8" s="110"/>
      <c r="K8" s="60"/>
      <c r="L8" s="60"/>
      <c r="M8" s="41"/>
      <c r="N8" s="61" t="s">
        <v>217</v>
      </c>
      <c r="O8" s="62">
        <f>O5/(O6+O7)</f>
        <v>4.7118144338653793E-2</v>
      </c>
      <c r="P8" s="41"/>
      <c r="Q8" s="41"/>
      <c r="R8" s="41"/>
    </row>
    <row r="9" spans="1:19" ht="22" customHeight="1" x14ac:dyDescent="0.2">
      <c r="A9" s="63"/>
      <c r="B9" s="64">
        <v>2020</v>
      </c>
      <c r="C9" s="64">
        <v>2021</v>
      </c>
      <c r="D9" s="64">
        <v>2022</v>
      </c>
      <c r="E9" s="65">
        <v>2023</v>
      </c>
      <c r="F9" s="66">
        <v>2024</v>
      </c>
      <c r="G9" s="67">
        <v>2025</v>
      </c>
      <c r="H9" s="67">
        <v>2026</v>
      </c>
      <c r="I9" s="67">
        <v>2027</v>
      </c>
      <c r="J9" s="68">
        <v>2028</v>
      </c>
      <c r="K9" s="60"/>
      <c r="L9" s="60"/>
      <c r="M9" s="60"/>
      <c r="N9" s="49" t="s">
        <v>237</v>
      </c>
      <c r="O9" s="50">
        <f>Financials!O25</f>
        <v>107619000</v>
      </c>
      <c r="P9" s="41"/>
      <c r="Q9" s="41"/>
      <c r="R9" s="41"/>
    </row>
    <row r="10" spans="1:19" ht="22" customHeight="1" x14ac:dyDescent="0.2">
      <c r="A10" s="69" t="s">
        <v>238</v>
      </c>
      <c r="B10" s="70">
        <v>1295000000</v>
      </c>
      <c r="C10" s="70">
        <v>1317000000</v>
      </c>
      <c r="D10" s="70">
        <v>1377000000</v>
      </c>
      <c r="E10" s="71">
        <v>1514000000</v>
      </c>
      <c r="F10" s="70">
        <v>1683000000</v>
      </c>
      <c r="G10" s="70">
        <v>1863000000</v>
      </c>
      <c r="H10" s="70">
        <v>2042000000</v>
      </c>
      <c r="I10" s="70">
        <v>2241000000</v>
      </c>
      <c r="J10" s="71">
        <v>2481000000</v>
      </c>
      <c r="K10" s="72" t="s">
        <v>239</v>
      </c>
      <c r="L10" s="60"/>
      <c r="N10" s="49" t="s">
        <v>240</v>
      </c>
      <c r="O10" s="50">
        <f>Financials!O24</f>
        <v>526269000</v>
      </c>
      <c r="P10" s="41"/>
      <c r="Q10" s="41"/>
      <c r="R10" s="41"/>
    </row>
    <row r="11" spans="1:19" ht="22" customHeight="1" x14ac:dyDescent="0.2">
      <c r="A11" s="73"/>
      <c r="B11" s="74"/>
      <c r="C11" s="74">
        <f t="shared" ref="C11:J11" si="0">(C10/B10)-1</f>
        <v>1.698841698841691E-2</v>
      </c>
      <c r="D11" s="74">
        <f t="shared" si="0"/>
        <v>4.5558086560364419E-2</v>
      </c>
      <c r="E11" s="74">
        <f t="shared" si="0"/>
        <v>9.9491648511256248E-2</v>
      </c>
      <c r="F11" s="75">
        <f t="shared" si="0"/>
        <v>0.11162483487450459</v>
      </c>
      <c r="G11" s="74">
        <f t="shared" si="0"/>
        <v>0.10695187165775399</v>
      </c>
      <c r="H11" s="74">
        <f t="shared" si="0"/>
        <v>9.6081588835212006E-2</v>
      </c>
      <c r="I11" s="74">
        <f t="shared" si="0"/>
        <v>9.7453476983349718E-2</v>
      </c>
      <c r="J11" s="76">
        <f t="shared" si="0"/>
        <v>0.107095046854083</v>
      </c>
      <c r="K11" s="76">
        <f>AVERAGE(F11:J11)</f>
        <v>0.10384136384098067</v>
      </c>
      <c r="L11" s="60"/>
      <c r="M11" s="60"/>
      <c r="N11" s="49" t="s">
        <v>241</v>
      </c>
      <c r="O11" s="77">
        <f>O9/O10</f>
        <v>0.20449427954145125</v>
      </c>
      <c r="P11" s="41"/>
      <c r="Q11" s="41"/>
      <c r="R11" s="41"/>
    </row>
    <row r="12" spans="1:19" ht="22" customHeight="1" x14ac:dyDescent="0.2">
      <c r="A12" s="69" t="s">
        <v>142</v>
      </c>
      <c r="B12" s="70">
        <v>236411000</v>
      </c>
      <c r="C12" s="70">
        <v>392000000</v>
      </c>
      <c r="D12" s="70">
        <v>375000000</v>
      </c>
      <c r="E12" s="70">
        <v>429000000</v>
      </c>
      <c r="F12" s="78">
        <v>584000000</v>
      </c>
      <c r="G12" s="70">
        <v>682000000</v>
      </c>
      <c r="H12" s="70">
        <v>832000000</v>
      </c>
      <c r="I12" s="70">
        <v>950000000</v>
      </c>
      <c r="J12" s="71">
        <v>1101000000</v>
      </c>
      <c r="K12" s="79" t="s">
        <v>242</v>
      </c>
      <c r="L12" s="60"/>
      <c r="M12" s="60"/>
      <c r="N12" s="49" t="s">
        <v>243</v>
      </c>
      <c r="O12" s="77">
        <f>O8*(1-O11)</f>
        <v>3.7482753358790671E-2</v>
      </c>
      <c r="P12" s="41"/>
      <c r="Q12" s="41"/>
      <c r="R12" s="41"/>
    </row>
    <row r="13" spans="1:19" ht="22" customHeight="1" x14ac:dyDescent="0.2">
      <c r="A13" s="73"/>
      <c r="B13" s="74"/>
      <c r="C13" s="74">
        <f t="shared" ref="C13:J13" si="1">(C12/B12)-1</f>
        <v>0.65812927486453665</v>
      </c>
      <c r="D13" s="74">
        <f t="shared" si="1"/>
        <v>-4.3367346938775531E-2</v>
      </c>
      <c r="E13" s="74">
        <f t="shared" si="1"/>
        <v>0.14399999999999991</v>
      </c>
      <c r="F13" s="75">
        <f t="shared" si="1"/>
        <v>0.36130536130536139</v>
      </c>
      <c r="G13" s="74">
        <f t="shared" si="1"/>
        <v>0.16780821917808209</v>
      </c>
      <c r="H13" s="74">
        <f t="shared" si="1"/>
        <v>0.21994134897360706</v>
      </c>
      <c r="I13" s="74">
        <f t="shared" si="1"/>
        <v>0.14182692307692313</v>
      </c>
      <c r="J13" s="76">
        <f t="shared" si="1"/>
        <v>0.15894736842105273</v>
      </c>
      <c r="K13" s="76">
        <f>AVERAGE(F13:J13)</f>
        <v>0.20996584419100528</v>
      </c>
      <c r="L13" s="60"/>
      <c r="M13" s="60"/>
      <c r="N13" s="120" t="s">
        <v>244</v>
      </c>
      <c r="O13" s="121"/>
      <c r="P13" s="41"/>
      <c r="Q13" s="41"/>
      <c r="R13" s="41"/>
    </row>
    <row r="14" spans="1:19" ht="22" customHeight="1" x14ac:dyDescent="0.2">
      <c r="A14" s="80" t="s">
        <v>245</v>
      </c>
      <c r="B14" s="81">
        <f>B12/B10</f>
        <v>0.18255675675675676</v>
      </c>
      <c r="C14" s="81">
        <f t="shared" ref="C14:J14" si="2">C12/C10</f>
        <v>0.2976461655277145</v>
      </c>
      <c r="D14" s="81">
        <f t="shared" si="2"/>
        <v>0.27233115468409586</v>
      </c>
      <c r="E14" s="81">
        <f t="shared" si="2"/>
        <v>0.28335535006605017</v>
      </c>
      <c r="F14" s="82">
        <f t="shared" si="2"/>
        <v>0.34699940582293526</v>
      </c>
      <c r="G14" s="81">
        <f t="shared" si="2"/>
        <v>0.36607622114868493</v>
      </c>
      <c r="H14" s="81">
        <f t="shared" si="2"/>
        <v>0.40744368266405484</v>
      </c>
      <c r="I14" s="81">
        <f t="shared" si="2"/>
        <v>0.42391789379741185</v>
      </c>
      <c r="J14" s="83">
        <f t="shared" si="2"/>
        <v>0.44377267230955258</v>
      </c>
      <c r="K14" s="83"/>
      <c r="L14" s="60"/>
      <c r="M14" s="60"/>
      <c r="N14" s="49" t="s">
        <v>246</v>
      </c>
      <c r="O14" s="77">
        <f>'[1]US Treasury Bonds'!$C$8</f>
        <v>4.2709999999999998E-2</v>
      </c>
      <c r="P14" s="41"/>
      <c r="Q14" s="41"/>
      <c r="R14" s="41"/>
    </row>
    <row r="15" spans="1:19" ht="22" customHeight="1" x14ac:dyDescent="0.2">
      <c r="A15" s="69" t="s">
        <v>185</v>
      </c>
      <c r="B15" s="70">
        <v>290000000</v>
      </c>
      <c r="C15" s="70">
        <v>378000000</v>
      </c>
      <c r="D15" s="70">
        <v>468000000</v>
      </c>
      <c r="E15" s="70">
        <v>493000000</v>
      </c>
      <c r="F15" s="78">
        <v>714000000</v>
      </c>
      <c r="G15" s="70">
        <v>819000000</v>
      </c>
      <c r="H15" s="70">
        <v>938000000</v>
      </c>
      <c r="I15" s="70">
        <v>1134000000</v>
      </c>
      <c r="J15" s="71">
        <v>1300000000</v>
      </c>
      <c r="K15" s="79" t="s">
        <v>247</v>
      </c>
      <c r="L15" s="60"/>
      <c r="M15" s="60"/>
      <c r="N15" s="49" t="s">
        <v>248</v>
      </c>
      <c r="O15" s="84">
        <f>1.33</f>
        <v>1.33</v>
      </c>
      <c r="P15" s="41"/>
      <c r="Q15" s="41"/>
      <c r="R15" s="41"/>
    </row>
    <row r="16" spans="1:19" ht="22" customHeight="1" x14ac:dyDescent="0.2">
      <c r="A16" s="85"/>
      <c r="B16" s="74"/>
      <c r="C16" s="74">
        <f t="shared" ref="C16:J16" si="3">(C15/B15)-1</f>
        <v>0.30344827586206891</v>
      </c>
      <c r="D16" s="74">
        <f t="shared" si="3"/>
        <v>0.23809523809523814</v>
      </c>
      <c r="E16" s="74">
        <f t="shared" si="3"/>
        <v>5.3418803418803451E-2</v>
      </c>
      <c r="F16" s="75">
        <f t="shared" si="3"/>
        <v>0.44827586206896552</v>
      </c>
      <c r="G16" s="74">
        <f t="shared" si="3"/>
        <v>0.14705882352941169</v>
      </c>
      <c r="H16" s="74">
        <f t="shared" si="3"/>
        <v>0.14529914529914523</v>
      </c>
      <c r="I16" s="74">
        <f t="shared" si="3"/>
        <v>0.20895522388059695</v>
      </c>
      <c r="J16" s="76">
        <f t="shared" si="3"/>
        <v>0.1463844797178131</v>
      </c>
      <c r="K16" s="76">
        <f>AVERAGE(F16:J16)</f>
        <v>0.21919470689918649</v>
      </c>
      <c r="L16" s="60"/>
      <c r="M16" s="60"/>
      <c r="N16" s="49" t="s">
        <v>249</v>
      </c>
      <c r="O16" s="77">
        <v>8.4000000000000005E-2</v>
      </c>
      <c r="P16" s="41"/>
      <c r="Q16" s="41"/>
      <c r="R16" s="41"/>
    </row>
    <row r="17" spans="1:18" ht="22" customHeight="1" x14ac:dyDescent="0.2">
      <c r="A17" s="80" t="s">
        <v>200</v>
      </c>
      <c r="B17" s="81">
        <f>B15/B10</f>
        <v>0.22393822393822393</v>
      </c>
      <c r="C17" s="81">
        <f t="shared" ref="C17:J17" si="4">C15/C10</f>
        <v>0.28701594533029612</v>
      </c>
      <c r="D17" s="81">
        <f t="shared" si="4"/>
        <v>0.33986928104575165</v>
      </c>
      <c r="E17" s="83">
        <f t="shared" si="4"/>
        <v>0.32562747688243066</v>
      </c>
      <c r="F17" s="81">
        <f t="shared" si="4"/>
        <v>0.42424242424242425</v>
      </c>
      <c r="G17" s="81">
        <f t="shared" si="4"/>
        <v>0.43961352657004832</v>
      </c>
      <c r="H17" s="81">
        <f t="shared" si="4"/>
        <v>0.45935357492654261</v>
      </c>
      <c r="I17" s="81">
        <f t="shared" si="4"/>
        <v>0.50602409638554213</v>
      </c>
      <c r="J17" s="83">
        <f t="shared" si="4"/>
        <v>0.52398226521563884</v>
      </c>
      <c r="K17" s="83"/>
      <c r="L17" s="60"/>
      <c r="M17" s="60"/>
      <c r="N17" s="86" t="s">
        <v>244</v>
      </c>
      <c r="O17" s="87">
        <f>(O14)+((O15)*(O16-O14))</f>
        <v>9.762570000000001E-2</v>
      </c>
      <c r="P17" s="41"/>
      <c r="Q17" s="41"/>
      <c r="R17" s="41"/>
    </row>
    <row r="18" spans="1:18" ht="22" customHeight="1" x14ac:dyDescent="0.2">
      <c r="A18" s="88" t="s">
        <v>196</v>
      </c>
      <c r="B18" s="89">
        <v>0.2064612456043477</v>
      </c>
      <c r="C18" s="89">
        <v>0.25794157001562729</v>
      </c>
      <c r="D18" s="89">
        <v>0.3729079469142389</v>
      </c>
      <c r="E18" s="89">
        <v>0.36551899819483757</v>
      </c>
      <c r="F18" s="90"/>
      <c r="G18" s="89"/>
      <c r="H18" s="89"/>
      <c r="I18" s="89"/>
      <c r="J18" s="91"/>
      <c r="K18" s="92"/>
      <c r="L18" s="60"/>
      <c r="M18" s="60"/>
      <c r="N18" s="120" t="s">
        <v>250</v>
      </c>
      <c r="O18" s="121"/>
      <c r="P18" s="41"/>
      <c r="Q18" s="41"/>
      <c r="R18" s="41"/>
    </row>
    <row r="19" spans="1:18" ht="22" customHeight="1" x14ac:dyDescent="0.2">
      <c r="A19" s="60"/>
      <c r="B19" s="60"/>
      <c r="C19" s="60"/>
      <c r="D19" s="60"/>
      <c r="E19" s="60"/>
      <c r="F19" s="60" t="s">
        <v>251</v>
      </c>
      <c r="G19" s="60"/>
      <c r="H19" s="60"/>
      <c r="I19" s="60"/>
      <c r="J19" s="60"/>
      <c r="K19" s="60"/>
      <c r="L19" s="60"/>
      <c r="M19" s="60"/>
      <c r="N19" s="49" t="s">
        <v>227</v>
      </c>
      <c r="O19" s="93">
        <f>O6+O7</f>
        <v>1954279000</v>
      </c>
      <c r="P19" s="41"/>
      <c r="Q19" s="41"/>
      <c r="R19" s="41"/>
    </row>
    <row r="20" spans="1:18" ht="22" customHeight="1" x14ac:dyDescent="0.2">
      <c r="B20" s="94"/>
      <c r="C20" s="94"/>
      <c r="D20" s="94"/>
      <c r="E20" s="94"/>
      <c r="F20" s="60"/>
      <c r="G20" s="60"/>
      <c r="H20" s="60"/>
      <c r="I20" s="60"/>
      <c r="J20" s="60"/>
      <c r="K20" s="60"/>
      <c r="L20" s="60"/>
      <c r="M20" s="60"/>
      <c r="N20" s="49" t="s">
        <v>204</v>
      </c>
      <c r="O20" s="93">
        <f>A3</f>
        <v>27869720000</v>
      </c>
      <c r="P20" s="41"/>
      <c r="Q20" s="41"/>
      <c r="R20" s="41"/>
    </row>
    <row r="21" spans="1:18" ht="22" customHeight="1" x14ac:dyDescent="0.2">
      <c r="A21" s="122" t="str" cm="1">
        <f t="array" ref="A21">_FV(A1,"Industry")</f>
        <v>Software &amp; IT Services</v>
      </c>
      <c r="B21" s="122"/>
      <c r="C21" s="122"/>
      <c r="D21" s="123" cm="1">
        <f t="array" ref="D21">_FV(A1,"Year incorporated",TRUE)</f>
        <v>1987</v>
      </c>
      <c r="E21" s="123"/>
      <c r="F21" s="60"/>
      <c r="G21" s="60"/>
      <c r="H21" s="60"/>
      <c r="I21" s="60"/>
      <c r="J21" s="60"/>
      <c r="K21" s="60"/>
      <c r="M21" s="60"/>
      <c r="N21" s="49" t="s">
        <v>252</v>
      </c>
      <c r="O21" s="93">
        <f>O19+O20</f>
        <v>29823999000</v>
      </c>
      <c r="P21" s="41"/>
      <c r="Q21" s="41"/>
      <c r="R21" s="41"/>
    </row>
    <row r="22" spans="1:18" ht="22" customHeight="1" x14ac:dyDescent="0.2">
      <c r="A22" s="111" t="str" cm="1">
        <f t="array" ref="A22">_FV(A1,"Description")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B22" s="111"/>
      <c r="C22" s="111"/>
      <c r="D22" s="111"/>
      <c r="E22" s="111"/>
      <c r="F22" s="60"/>
      <c r="G22" s="60"/>
      <c r="H22" s="60"/>
      <c r="I22" s="60"/>
      <c r="J22" s="60"/>
      <c r="K22" s="60"/>
      <c r="L22" s="60"/>
      <c r="M22" s="60"/>
      <c r="N22" s="61" t="s">
        <v>253</v>
      </c>
      <c r="O22" s="95">
        <f>(O19/O21)</f>
        <v>6.5527060941760362E-2</v>
      </c>
      <c r="P22" s="41"/>
      <c r="Q22" s="41"/>
      <c r="R22" s="41"/>
    </row>
    <row r="23" spans="1:18" ht="22" customHeight="1" x14ac:dyDescent="0.2">
      <c r="A23" s="111"/>
      <c r="B23" s="111"/>
      <c r="C23" s="111"/>
      <c r="D23" s="111"/>
      <c r="E23" s="111"/>
      <c r="F23" s="60"/>
      <c r="G23" s="60"/>
      <c r="H23" s="60"/>
      <c r="I23" s="60"/>
      <c r="J23" s="60"/>
      <c r="K23" s="60"/>
      <c r="L23" s="60"/>
      <c r="M23" s="60"/>
      <c r="N23" s="86" t="s">
        <v>254</v>
      </c>
      <c r="O23" s="96">
        <f>O20/O21</f>
        <v>0.93447293905823969</v>
      </c>
      <c r="P23" s="41"/>
      <c r="Q23" s="41"/>
      <c r="R23" s="41"/>
    </row>
    <row r="24" spans="1:18" ht="22" customHeight="1" x14ac:dyDescent="0.2">
      <c r="A24" s="111"/>
      <c r="B24" s="111"/>
      <c r="C24" s="111"/>
      <c r="D24" s="111"/>
      <c r="E24" s="111"/>
      <c r="F24" s="60"/>
      <c r="G24" s="60"/>
      <c r="H24" s="60"/>
      <c r="I24" s="60"/>
      <c r="J24" s="60"/>
      <c r="K24" s="60"/>
      <c r="L24" s="60"/>
      <c r="M24" s="60"/>
      <c r="N24" s="112" t="s">
        <v>255</v>
      </c>
      <c r="O24" s="113"/>
      <c r="P24" s="41"/>
      <c r="Q24" s="41"/>
      <c r="R24" s="41"/>
    </row>
    <row r="25" spans="1:18" ht="22" customHeight="1" x14ac:dyDescent="0.2">
      <c r="A25" s="111"/>
      <c r="B25" s="111"/>
      <c r="C25" s="111"/>
      <c r="D25" s="111"/>
      <c r="E25" s="111"/>
      <c r="F25" s="60"/>
      <c r="G25" s="60"/>
      <c r="H25" s="60"/>
      <c r="I25" s="60"/>
      <c r="J25" s="60"/>
      <c r="K25" s="60"/>
      <c r="L25" s="60"/>
      <c r="M25" s="60"/>
      <c r="N25" s="114">
        <f>(O22*O12)+(O23*O17)</f>
        <v>9.3684709470224448E-2</v>
      </c>
      <c r="O25" s="115"/>
      <c r="P25" s="41"/>
      <c r="Q25" s="41"/>
      <c r="R25" s="41"/>
    </row>
    <row r="26" spans="1:18" ht="22" customHeight="1" x14ac:dyDescent="0.2">
      <c r="A26" s="111"/>
      <c r="B26" s="111"/>
      <c r="C26" s="111"/>
      <c r="D26" s="111"/>
      <c r="E26" s="111"/>
      <c r="F26" s="60"/>
      <c r="G26" s="60"/>
      <c r="H26" s="60"/>
      <c r="I26" s="60"/>
      <c r="J26" s="60"/>
      <c r="K26" s="60"/>
      <c r="L26" s="60"/>
      <c r="M26" s="60"/>
      <c r="N26" s="60"/>
      <c r="O26" s="41"/>
      <c r="P26" s="41"/>
      <c r="Q26" s="41"/>
      <c r="R26" s="41"/>
    </row>
    <row r="27" spans="1:18" ht="22" customHeight="1" x14ac:dyDescent="0.2">
      <c r="A27" s="111"/>
      <c r="B27" s="111"/>
      <c r="C27" s="111"/>
      <c r="D27" s="111"/>
      <c r="E27" s="111"/>
      <c r="F27" s="60"/>
      <c r="G27" s="60"/>
      <c r="H27" s="60"/>
      <c r="I27" s="60"/>
      <c r="J27" s="60"/>
      <c r="K27" s="60"/>
      <c r="L27" s="60"/>
      <c r="M27" s="60"/>
      <c r="N27" s="60"/>
      <c r="O27" s="41"/>
      <c r="P27" s="41"/>
      <c r="Q27" s="41"/>
      <c r="R27" s="41"/>
    </row>
    <row r="28" spans="1:18" ht="22" customHeight="1" x14ac:dyDescent="0.2">
      <c r="A28" s="111"/>
      <c r="B28" s="111"/>
      <c r="C28" s="111"/>
      <c r="D28" s="111"/>
      <c r="E28" s="111"/>
      <c r="F28" s="60"/>
      <c r="G28" s="60"/>
      <c r="H28" s="60"/>
      <c r="I28" s="60"/>
      <c r="J28" s="60"/>
      <c r="K28" s="60"/>
      <c r="L28" s="60"/>
      <c r="M28" s="60"/>
      <c r="N28" s="60"/>
      <c r="O28" s="41"/>
      <c r="P28" s="41"/>
      <c r="Q28" s="41"/>
      <c r="R28" s="41"/>
    </row>
    <row r="29" spans="1:18" ht="22" customHeight="1" x14ac:dyDescent="0.2">
      <c r="A29" s="111"/>
      <c r="B29" s="111"/>
      <c r="C29" s="111"/>
      <c r="D29" s="111"/>
      <c r="E29" s="111"/>
      <c r="F29" s="60"/>
      <c r="G29" s="60"/>
      <c r="H29" s="60"/>
      <c r="I29" s="60"/>
      <c r="J29" s="60"/>
      <c r="K29" s="60"/>
      <c r="L29" s="60"/>
      <c r="M29" s="60"/>
      <c r="N29" s="60"/>
      <c r="O29" s="41"/>
      <c r="P29" s="41"/>
      <c r="Q29" s="41"/>
      <c r="R29" s="41"/>
    </row>
    <row r="30" spans="1:18" ht="22" customHeight="1" x14ac:dyDescent="0.2">
      <c r="A30" s="111"/>
      <c r="B30" s="111"/>
      <c r="C30" s="111"/>
      <c r="D30" s="111"/>
      <c r="E30" s="111"/>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FICO/explorer/revenue_proj" xr:uid="{A5E04DFA-7646-F241-8002-8D06F7E472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2023-12-03T14:46:50Z</dcterms:modified>
</cp:coreProperties>
</file>