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848BD29-FC51-6B49-9464-3B6AC83BBF8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c r="I17" i="2"/>
  <c r="H17" i="2"/>
  <c r="G17" i="2"/>
  <c r="F17" i="2"/>
  <c r="C6" i="2" s="1"/>
  <c r="E17" i="2"/>
  <c r="D17" i="2"/>
  <c r="C17" i="2"/>
  <c r="B17" i="2"/>
  <c r="J14" i="2"/>
  <c r="I14" i="2"/>
  <c r="H14" i="2"/>
  <c r="G14" i="2"/>
  <c r="F14" i="2"/>
  <c r="C5" i="2" s="1"/>
  <c r="E14" i="2"/>
  <c r="D14" i="2"/>
  <c r="C14" i="2"/>
  <c r="B14" i="2"/>
  <c r="K4" i="2" l="1" a="1"/>
  <c r="K4" i="2" s="1"/>
  <c r="O10" i="2"/>
  <c r="O9" i="2"/>
  <c r="O7" i="2"/>
  <c r="G7" i="2"/>
  <c r="E7" i="2"/>
  <c r="O6" i="2"/>
  <c r="O8" i="2" s="1"/>
  <c r="G6" i="2"/>
  <c r="E6" i="2"/>
  <c r="O5" i="2"/>
  <c r="G5" i="2"/>
  <c r="C4" i="2"/>
  <c r="A4" i="2"/>
  <c r="C3" i="2"/>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J11" i="2"/>
  <c r="I11" i="2"/>
  <c r="H11" i="2"/>
  <c r="G11" i="2"/>
  <c r="F11" i="2"/>
  <c r="E11" i="2"/>
  <c r="D11" i="2"/>
  <c r="C11" i="2"/>
  <c r="E3" i="2" s="1"/>
  <c r="O11" i="2"/>
  <c r="K5" i="2" a="1"/>
  <c r="K5" i="2" s="1"/>
  <c r="A5" i="2" a="1"/>
  <c r="A5" i="2" s="1"/>
  <c r="A3" i="2" a="1"/>
  <c r="A3" i="2" s="1"/>
  <c r="K3" i="2" s="1"/>
  <c r="K13" i="2" l="1"/>
  <c r="E4" i="2"/>
  <c r="K16" i="2"/>
  <c r="K11" i="2"/>
  <c r="G4" i="2"/>
  <c r="O19" i="2"/>
  <c r="O20" i="2"/>
  <c r="O21" i="2" s="1"/>
  <c r="O22" i="2" s="1"/>
  <c r="C7" i="2"/>
  <c r="O12" i="2"/>
  <c r="O23" i="2" l="1"/>
  <c r="A6" i="2"/>
  <c r="A7" i="2"/>
  <c r="I3" i="1" l="1"/>
  <c r="I35" i="1"/>
  <c r="I18"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<sst xmlns="http://schemas.openxmlformats.org/spreadsheetml/2006/main" count="869" uniqueCount="244">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</sst>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12"/>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6"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0" fontId="26" fillId="0" borderId="0" xfId="0" applyFont="1"/>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58.7</v>
    <v>26.24</v>
    <v>2.3839999999999999</v>
    <v>4.13</v>
    <v>8.5435999999999998E-2</v>
    <v>0.91</v>
    <v>1.7343000000000001E-2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52.86</v>
    <v>Software &amp; IT Services</v>
    <v>Stock</v>
    <v>45262.041129941405</v>
    <v>0</v>
    <v>48.704999999999998</v>
    <v>8117109000</v>
    <v>Gitlab Inc.</v>
    <v>Gitlab Inc.</v>
    <v>48.88</v>
    <v>48.34</v>
    <v>52.47</v>
    <v>53.38</v>
    <v>154700000</v>
    <v>GTLB</v>
    <v>Gitlab Inc. (XNAS:GTLB)</v>
    <v>3826734</v>
    <v>1438560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TL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T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23" workbookViewId="0">
      <selection activeCell="B36" sqref="B36:E36"/>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81227000</v>
      </c>
      <c r="C2" s="26">
        <v>152176000</v>
      </c>
      <c r="D2" s="26">
        <v>252653000</v>
      </c>
      <c r="E2" s="26">
        <v>424336000</v>
      </c>
      <c r="F2" s="27">
        <v>502347000</v>
      </c>
      <c r="G2" s="26">
        <v>112981000</v>
      </c>
      <c r="H2" s="26">
        <v>122907000</v>
      </c>
      <c r="I2" s="26">
        <v>126878000</v>
      </c>
      <c r="J2" s="26">
        <v>139581000</v>
      </c>
    </row>
    <row r="3" spans="1:10" ht="16" x14ac:dyDescent="0.2">
      <c r="A3" s="9" t="s">
        <v>182</v>
      </c>
      <c r="B3" s="10"/>
      <c r="C3" s="11">
        <f t="shared" ref="C3:J3" si="0">(C2/B2)-1</f>
        <v>0.87346571952675833</v>
      </c>
      <c r="D3" s="11">
        <f t="shared" si="0"/>
        <v>0.66026837346230671</v>
      </c>
      <c r="E3" s="11">
        <f t="shared" si="0"/>
        <v>0.67952092395498975</v>
      </c>
      <c r="F3" s="11">
        <f t="shared" si="0"/>
        <v>0.18384252102107768</v>
      </c>
      <c r="G3" s="11"/>
      <c r="H3" s="11">
        <f t="shared" si="0"/>
        <v>8.7855480124976681E-2</v>
      </c>
      <c r="I3" s="11">
        <f t="shared" si="0"/>
        <v>3.2308981587704455E-2</v>
      </c>
      <c r="J3" s="11">
        <f t="shared" si="0"/>
        <v>0.10011980012295285</v>
      </c>
    </row>
    <row r="4" spans="1:10" ht="16" x14ac:dyDescent="0.2">
      <c r="A4" s="3" t="s">
        <v>10</v>
      </c>
      <c r="B4" s="4">
        <v>81227000</v>
      </c>
      <c r="C4" s="4">
        <v>152176000</v>
      </c>
      <c r="D4" s="4">
        <v>252653000</v>
      </c>
      <c r="E4" s="4">
        <v>424336000</v>
      </c>
      <c r="F4" s="5">
        <v>502347000</v>
      </c>
      <c r="G4" s="4">
        <v>112981000</v>
      </c>
      <c r="H4" s="4">
        <v>122907000</v>
      </c>
      <c r="I4" s="4">
        <v>126878000</v>
      </c>
      <c r="J4" s="4">
        <v>139581000</v>
      </c>
    </row>
    <row r="5" spans="1:10" ht="16" x14ac:dyDescent="0.2">
      <c r="A5" s="3" t="s">
        <v>11</v>
      </c>
      <c r="B5" s="4">
        <v>9376000</v>
      </c>
      <c r="C5" s="4">
        <v>18463000</v>
      </c>
      <c r="D5" s="4">
        <v>29985000</v>
      </c>
      <c r="E5" s="4">
        <v>51680000</v>
      </c>
      <c r="F5" s="5">
        <v>57437000</v>
      </c>
      <c r="G5" s="4">
        <v>14564000</v>
      </c>
      <c r="H5" s="4">
        <v>14238000</v>
      </c>
      <c r="I5" s="4">
        <v>13939000</v>
      </c>
      <c r="J5" s="4">
        <v>14696000</v>
      </c>
    </row>
    <row r="6" spans="1:10" ht="16" x14ac:dyDescent="0.2">
      <c r="A6" s="3" t="s">
        <v>12</v>
      </c>
      <c r="B6" s="4">
        <v>9376000</v>
      </c>
      <c r="C6" s="4">
        <v>18463000</v>
      </c>
      <c r="D6" s="4">
        <v>29985000</v>
      </c>
      <c r="E6" s="4">
        <v>51680000</v>
      </c>
      <c r="F6" s="5">
        <v>57437000</v>
      </c>
      <c r="G6" s="4">
        <v>14564000</v>
      </c>
      <c r="H6" s="4">
        <v>14238000</v>
      </c>
      <c r="I6" s="4">
        <v>13939000</v>
      </c>
      <c r="J6" s="4">
        <v>14696000</v>
      </c>
    </row>
    <row r="7" spans="1:10" ht="16" x14ac:dyDescent="0.2">
      <c r="A7" s="28" t="s">
        <v>13</v>
      </c>
      <c r="B7" s="26">
        <v>71851000</v>
      </c>
      <c r="C7" s="26">
        <v>133713000</v>
      </c>
      <c r="D7" s="26">
        <v>222668000</v>
      </c>
      <c r="E7" s="26">
        <v>372656000</v>
      </c>
      <c r="F7" s="27">
        <v>444910000</v>
      </c>
      <c r="G7" s="26">
        <v>98417000</v>
      </c>
      <c r="H7" s="26">
        <v>108669000</v>
      </c>
      <c r="I7" s="26">
        <v>112939000</v>
      </c>
      <c r="J7" s="26">
        <v>124885000</v>
      </c>
    </row>
    <row r="8" spans="1:10" ht="16" x14ac:dyDescent="0.2">
      <c r="A8" s="31" t="s">
        <v>49</v>
      </c>
      <c r="B8" s="32">
        <v>88.46</v>
      </c>
      <c r="C8" s="32">
        <v>87.87</v>
      </c>
      <c r="D8" s="32">
        <v>88.13</v>
      </c>
      <c r="E8" s="32">
        <v>87.82</v>
      </c>
      <c r="F8" s="33">
        <v>88.57</v>
      </c>
      <c r="G8" s="32">
        <v>87.11</v>
      </c>
      <c r="H8" s="32">
        <v>88.42</v>
      </c>
      <c r="I8" s="32">
        <v>89.01</v>
      </c>
      <c r="J8" s="32">
        <v>89.47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200218000</v>
      </c>
      <c r="C10" s="4">
        <v>347597000</v>
      </c>
      <c r="D10" s="4">
        <v>351625000</v>
      </c>
      <c r="E10" s="4">
        <v>584067000</v>
      </c>
      <c r="F10" s="5">
        <v>660436000</v>
      </c>
      <c r="G10" s="4">
        <v>155379000</v>
      </c>
      <c r="H10" s="4">
        <v>154943000</v>
      </c>
      <c r="I10" s="4">
        <v>171172000</v>
      </c>
      <c r="J10" s="4">
        <v>178942000</v>
      </c>
    </row>
    <row r="11" spans="1:10" ht="16" x14ac:dyDescent="0.2">
      <c r="A11" s="24" t="s">
        <v>17</v>
      </c>
      <c r="B11" s="26">
        <v>140854000</v>
      </c>
      <c r="C11" s="26">
        <v>240954000</v>
      </c>
      <c r="D11" s="26">
        <v>254408000</v>
      </c>
      <c r="E11" s="26">
        <v>427924000</v>
      </c>
      <c r="F11" s="27">
        <v>476249000</v>
      </c>
      <c r="G11" s="26">
        <v>114266000</v>
      </c>
      <c r="H11" s="26">
        <v>111263000</v>
      </c>
      <c r="I11" s="26">
        <v>120785000</v>
      </c>
      <c r="J11" s="26">
        <v>129935000</v>
      </c>
    </row>
    <row r="12" spans="1:10" ht="16" x14ac:dyDescent="0.2">
      <c r="A12" s="12" t="s">
        <v>183</v>
      </c>
      <c r="B12" s="11">
        <f t="shared" ref="B12:J12" si="1">B11/B2</f>
        <v>1.7340785699336427</v>
      </c>
      <c r="C12" s="11">
        <f t="shared" si="1"/>
        <v>1.5833902849332353</v>
      </c>
      <c r="D12" s="11">
        <f t="shared" si="1"/>
        <v>1.0069462860128318</v>
      </c>
      <c r="E12" s="11">
        <f t="shared" si="1"/>
        <v>1.0084555635157046</v>
      </c>
      <c r="F12" s="11">
        <f t="shared" si="1"/>
        <v>0.94804786332953117</v>
      </c>
      <c r="G12" s="11">
        <f t="shared" si="1"/>
        <v>1.0113735937901063</v>
      </c>
      <c r="H12" s="11">
        <f t="shared" si="1"/>
        <v>0.9052617019372371</v>
      </c>
      <c r="I12" s="11">
        <f t="shared" si="1"/>
        <v>0.95197749018742417</v>
      </c>
      <c r="J12" s="11">
        <f t="shared" si="1"/>
        <v>0.93089317313961073</v>
      </c>
    </row>
    <row r="13" spans="1:10" ht="16" x14ac:dyDescent="0.2">
      <c r="A13" s="24" t="s">
        <v>18</v>
      </c>
      <c r="B13" s="26">
        <v>59364000</v>
      </c>
      <c r="C13" s="26">
        <v>106643000</v>
      </c>
      <c r="D13" s="26">
        <v>97217000</v>
      </c>
      <c r="E13" s="26">
        <v>156143000</v>
      </c>
      <c r="F13" s="27">
        <v>184187000</v>
      </c>
      <c r="G13" s="26">
        <v>41113000</v>
      </c>
      <c r="H13" s="26">
        <v>43680000</v>
      </c>
      <c r="I13" s="26">
        <v>50387000</v>
      </c>
      <c r="J13" s="26">
        <v>49007000</v>
      </c>
    </row>
    <row r="14" spans="1:10" ht="16" x14ac:dyDescent="0.2">
      <c r="A14" s="13" t="s">
        <v>184</v>
      </c>
      <c r="B14" s="14">
        <f t="shared" ref="B14:J14" si="2">B13/B2</f>
        <v>0.73084073029903851</v>
      </c>
      <c r="C14" s="14">
        <f t="shared" si="2"/>
        <v>0.70078724634633582</v>
      </c>
      <c r="D14" s="14">
        <f t="shared" si="2"/>
        <v>0.38478466513360221</v>
      </c>
      <c r="E14" s="14">
        <f t="shared" si="2"/>
        <v>0.36797019343162024</v>
      </c>
      <c r="F14" s="14">
        <f t="shared" si="2"/>
        <v>0.3666529311412231</v>
      </c>
      <c r="G14" s="14">
        <f t="shared" si="2"/>
        <v>0.36389304396314426</v>
      </c>
      <c r="H14" s="14">
        <f t="shared" si="2"/>
        <v>0.35539066123166296</v>
      </c>
      <c r="I14" s="14">
        <f t="shared" si="2"/>
        <v>0.39712952600135565</v>
      </c>
      <c r="J14" s="14">
        <f t="shared" si="2"/>
        <v>0.35110079452074422</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-128367000</v>
      </c>
      <c r="C16" s="26">
        <v>-213884000</v>
      </c>
      <c r="D16" s="26">
        <v>-128957000</v>
      </c>
      <c r="E16" s="26">
        <v>-211411000</v>
      </c>
      <c r="F16" s="27">
        <v>-215526000</v>
      </c>
      <c r="G16" s="26">
        <v>-56962000</v>
      </c>
      <c r="H16" s="26">
        <v>-46274000</v>
      </c>
      <c r="I16" s="26">
        <v>-58233000</v>
      </c>
      <c r="J16" s="26">
        <v>-54057000</v>
      </c>
    </row>
    <row r="17" spans="1:10" ht="16" x14ac:dyDescent="0.2">
      <c r="A17" s="24" t="s">
        <v>50</v>
      </c>
      <c r="B17" s="29">
        <v>-158.03</v>
      </c>
      <c r="C17" s="29">
        <v>-140.55000000000001</v>
      </c>
      <c r="D17" s="29">
        <v>-51.04</v>
      </c>
      <c r="E17" s="29">
        <v>-49.82</v>
      </c>
      <c r="F17" s="30">
        <v>-42.9</v>
      </c>
      <c r="G17" s="29">
        <v>-50.42</v>
      </c>
      <c r="H17" s="29">
        <v>-37.65</v>
      </c>
      <c r="I17" s="29">
        <v>-45.9</v>
      </c>
      <c r="J17" s="29">
        <v>-38.729999999999997</v>
      </c>
    </row>
    <row r="18" spans="1:10" ht="16" x14ac:dyDescent="0.2">
      <c r="A18" s="15" t="s">
        <v>185</v>
      </c>
      <c r="B18" s="10"/>
      <c r="C18" s="11">
        <f>(C16/B16)-1</f>
        <v>0.66619146665420237</v>
      </c>
      <c r="D18" s="11">
        <f>(D16/C16)-1</f>
        <v>-0.39707037459557515</v>
      </c>
      <c r="E18" s="11">
        <f>(E16/D16)-1</f>
        <v>0.63939142504865965</v>
      </c>
      <c r="F18" s="11">
        <f t="shared" ref="F18:J18" si="3">(F16/E16)-1</f>
        <v>1.9464455491909227E-2</v>
      </c>
      <c r="G18" s="11"/>
      <c r="H18" s="11">
        <f t="shared" si="3"/>
        <v>-0.18763386117060499</v>
      </c>
      <c r="I18" s="11">
        <f t="shared" si="3"/>
        <v>0.25843886415697792</v>
      </c>
      <c r="J18" s="11">
        <f t="shared" si="3"/>
        <v>-7.1711915923960645E-2</v>
      </c>
    </row>
    <row r="19" spans="1:10" ht="16" x14ac:dyDescent="0.2">
      <c r="A19" s="3" t="s">
        <v>21</v>
      </c>
      <c r="B19" s="4">
        <v>1174000</v>
      </c>
      <c r="C19" s="4">
        <v>-24522000</v>
      </c>
      <c r="D19" s="4">
        <v>30114000</v>
      </c>
      <c r="E19" s="4">
        <v>-33613000</v>
      </c>
      <c r="F19" s="5">
        <v>-24779000</v>
      </c>
      <c r="G19" s="4">
        <v>-6562000</v>
      </c>
      <c r="H19" s="4">
        <v>-4532000</v>
      </c>
      <c r="I19" s="4">
        <v>-6820000</v>
      </c>
      <c r="J19" s="4">
        <v>-6865000</v>
      </c>
    </row>
    <row r="20" spans="1:10" ht="16" x14ac:dyDescent="0.2">
      <c r="A20" s="3" t="s">
        <v>22</v>
      </c>
      <c r="B20" s="4">
        <v>-3626000</v>
      </c>
      <c r="C20" s="4">
        <v>-1070000</v>
      </c>
      <c r="D20" s="4">
        <v>-736000</v>
      </c>
      <c r="E20" s="4">
        <v>-14496000</v>
      </c>
      <c r="F20" s="5">
        <v>-27333000</v>
      </c>
      <c r="G20" s="4">
        <v>-4657000</v>
      </c>
      <c r="H20" s="4">
        <v>-6249000</v>
      </c>
      <c r="I20" s="4">
        <v>-7315000</v>
      </c>
      <c r="J20" s="4">
        <v>-9112000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3626000</v>
      </c>
      <c r="C22" s="4">
        <v>1070000</v>
      </c>
      <c r="D22" s="4">
        <v>736000</v>
      </c>
      <c r="E22" s="4">
        <v>14496000</v>
      </c>
      <c r="F22" s="5">
        <v>27333000</v>
      </c>
      <c r="G22" s="4">
        <v>4657000</v>
      </c>
      <c r="H22" s="4">
        <v>6249000</v>
      </c>
      <c r="I22" s="4">
        <v>7315000</v>
      </c>
      <c r="J22" s="4">
        <v>9112000</v>
      </c>
    </row>
    <row r="23" spans="1:10" ht="16" x14ac:dyDescent="0.2">
      <c r="A23" s="3" t="s">
        <v>25</v>
      </c>
      <c r="B23" s="4">
        <v>4800000</v>
      </c>
      <c r="C23" s="4">
        <v>-23452000</v>
      </c>
      <c r="D23" s="4">
        <v>30850000</v>
      </c>
      <c r="E23" s="4">
        <v>-19117000</v>
      </c>
      <c r="F23" s="5">
        <v>2554000</v>
      </c>
      <c r="G23" s="4">
        <v>-1905000</v>
      </c>
      <c r="H23" s="4">
        <v>1717000</v>
      </c>
      <c r="I23" s="4">
        <v>495000</v>
      </c>
      <c r="J23" s="4">
        <v>2247000</v>
      </c>
    </row>
    <row r="24" spans="1:10" ht="16" x14ac:dyDescent="0.2">
      <c r="A24" s="3" t="s">
        <v>26</v>
      </c>
      <c r="B24" s="4">
        <v>-129541000</v>
      </c>
      <c r="C24" s="4">
        <v>-189362000</v>
      </c>
      <c r="D24" s="4">
        <v>-159071000</v>
      </c>
      <c r="E24" s="4">
        <v>-177798000</v>
      </c>
      <c r="F24" s="5">
        <v>-190747000</v>
      </c>
      <c r="G24" s="4">
        <v>-50400000</v>
      </c>
      <c r="H24" s="4">
        <v>-41742000</v>
      </c>
      <c r="I24" s="4">
        <v>-51413000</v>
      </c>
      <c r="J24" s="4">
        <v>-47192000</v>
      </c>
    </row>
    <row r="25" spans="1:10" ht="16" x14ac:dyDescent="0.2">
      <c r="A25" s="3" t="s">
        <v>27</v>
      </c>
      <c r="B25" s="4">
        <v>1200000</v>
      </c>
      <c r="C25" s="4">
        <v>2832000</v>
      </c>
      <c r="D25" s="4">
        <v>-1511000</v>
      </c>
      <c r="E25" s="4">
        <v>2898000</v>
      </c>
      <c r="F25" s="5">
        <v>5946000</v>
      </c>
      <c r="G25" s="4">
        <v>65000</v>
      </c>
      <c r="H25" s="4">
        <v>379000</v>
      </c>
      <c r="I25" s="4">
        <v>1486000</v>
      </c>
      <c r="J25" s="4">
        <v>4016000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-130741000</v>
      </c>
      <c r="C27" s="4">
        <v>-192194000</v>
      </c>
      <c r="D27" s="4">
        <v>-157560000</v>
      </c>
      <c r="E27" s="4">
        <v>-180696000</v>
      </c>
      <c r="F27" s="5">
        <v>-196693000</v>
      </c>
      <c r="G27" s="4">
        <v>-50465000</v>
      </c>
      <c r="H27" s="4">
        <v>-42121000</v>
      </c>
      <c r="I27" s="4">
        <v>-52899000</v>
      </c>
      <c r="J27" s="4">
        <v>-51208000</v>
      </c>
    </row>
    <row r="28" spans="1:10" ht="16" x14ac:dyDescent="0.2">
      <c r="A28" s="3" t="s">
        <v>30</v>
      </c>
      <c r="B28" s="4" t="s">
        <v>15</v>
      </c>
      <c r="C28" s="4" t="s">
        <v>15</v>
      </c>
      <c r="D28" s="4">
        <v>-4844000</v>
      </c>
      <c r="E28" s="4">
        <v>-16770000</v>
      </c>
      <c r="F28" s="5">
        <v>-13912000</v>
      </c>
      <c r="G28" s="4">
        <v>-4020000</v>
      </c>
      <c r="H28" s="4">
        <v>-6776000</v>
      </c>
      <c r="I28" s="4">
        <v>-860000</v>
      </c>
      <c r="J28" s="4">
        <v>-2256000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v>-4844000</v>
      </c>
      <c r="E30" s="4">
        <v>-16770000</v>
      </c>
      <c r="F30" s="5">
        <v>-13912000</v>
      </c>
      <c r="G30" s="4">
        <v>-4020000</v>
      </c>
      <c r="H30" s="4">
        <v>-6776000</v>
      </c>
      <c r="I30" s="4">
        <v>-860000</v>
      </c>
      <c r="J30" s="4">
        <v>-2256000</v>
      </c>
    </row>
    <row r="31" spans="1:10" ht="16" x14ac:dyDescent="0.2">
      <c r="A31" s="3" t="s">
        <v>33</v>
      </c>
      <c r="B31" s="4">
        <v>-130741000</v>
      </c>
      <c r="C31" s="4">
        <v>-192194000</v>
      </c>
      <c r="D31" s="4">
        <v>-152716000</v>
      </c>
      <c r="E31" s="4">
        <v>-163926000</v>
      </c>
      <c r="F31" s="5">
        <v>-182781000</v>
      </c>
      <c r="G31" s="4">
        <v>-46445000</v>
      </c>
      <c r="H31" s="4">
        <v>-35345000</v>
      </c>
      <c r="I31" s="4">
        <v>-52039000</v>
      </c>
      <c r="J31" s="4">
        <v>-48952000</v>
      </c>
    </row>
    <row r="32" spans="1:10" ht="16" x14ac:dyDescent="0.2">
      <c r="A32" s="3" t="s">
        <v>34</v>
      </c>
      <c r="B32" s="4" t="s">
        <v>15</v>
      </c>
      <c r="C32" s="4" t="s">
        <v>15</v>
      </c>
      <c r="D32" s="4">
        <v>2422000</v>
      </c>
      <c r="E32" s="4">
        <v>8385000</v>
      </c>
      <c r="F32" s="5">
        <v>6956000</v>
      </c>
      <c r="G32" s="4">
        <v>2010000</v>
      </c>
      <c r="H32" s="4">
        <v>3388000</v>
      </c>
      <c r="I32" s="4">
        <v>430000</v>
      </c>
      <c r="J32" s="4">
        <v>1128000</v>
      </c>
    </row>
    <row r="33" spans="1:10" ht="16" x14ac:dyDescent="0.2">
      <c r="A33" s="28" t="s">
        <v>35</v>
      </c>
      <c r="B33" s="26">
        <v>-130741000</v>
      </c>
      <c r="C33" s="26">
        <v>-192194000</v>
      </c>
      <c r="D33" s="26">
        <v>-155138000</v>
      </c>
      <c r="E33" s="26">
        <v>-172311000</v>
      </c>
      <c r="F33" s="27">
        <v>-189737000</v>
      </c>
      <c r="G33" s="26">
        <v>-48455000</v>
      </c>
      <c r="H33" s="26">
        <v>-38733000</v>
      </c>
      <c r="I33" s="26">
        <v>-52469000</v>
      </c>
      <c r="J33" s="26">
        <v>-50080000</v>
      </c>
    </row>
    <row r="34" spans="1:10" ht="16" x14ac:dyDescent="0.2">
      <c r="A34" s="24" t="s">
        <v>51</v>
      </c>
      <c r="B34" s="29">
        <v>-160.96</v>
      </c>
      <c r="C34" s="29">
        <v>-126.3</v>
      </c>
      <c r="D34" s="29">
        <v>-61.4</v>
      </c>
      <c r="E34" s="29">
        <v>-40.61</v>
      </c>
      <c r="F34" s="30">
        <v>-37.770000000000003</v>
      </c>
      <c r="G34" s="29">
        <v>-42.89</v>
      </c>
      <c r="H34" s="29">
        <v>-31.51</v>
      </c>
      <c r="I34" s="29">
        <v>-41.35</v>
      </c>
      <c r="J34" s="29">
        <v>-35.880000000000003</v>
      </c>
    </row>
    <row r="35" spans="1:10" ht="16" x14ac:dyDescent="0.2">
      <c r="A35" s="16" t="s">
        <v>186</v>
      </c>
      <c r="B35" s="17"/>
      <c r="C35" s="14">
        <f>(C33/B33)-1</f>
        <v>0.47003617839851319</v>
      </c>
      <c r="D35" s="14">
        <f>(D33/C33)-1</f>
        <v>-0.19280518642621514</v>
      </c>
      <c r="E35" s="14">
        <f>(E33/D33)-1</f>
        <v>0.11069499413425476</v>
      </c>
      <c r="F35" s="14">
        <f t="shared" ref="F35:J35" si="4">(F33/E33)-1</f>
        <v>0.10113109435845646</v>
      </c>
      <c r="G35" s="14"/>
      <c r="H35" s="14">
        <f t="shared" si="4"/>
        <v>-0.20063976885770307</v>
      </c>
      <c r="I35" s="14">
        <f t="shared" si="4"/>
        <v>0.35463300028399547</v>
      </c>
      <c r="J35" s="14">
        <f t="shared" si="4"/>
        <v>-4.5531647258381103E-2</v>
      </c>
    </row>
    <row r="36" spans="1:10" ht="16" x14ac:dyDescent="0.2">
      <c r="A36" s="18" t="s">
        <v>187</v>
      </c>
      <c r="B36" s="19">
        <f t="shared" ref="B36:J36" si="5">(B16*(1-0.25))/(B126+B105+B96)</f>
        <v>0.71448900532108317</v>
      </c>
      <c r="C36" s="19">
        <f t="shared" si="5"/>
        <v>0.6937618392713496</v>
      </c>
      <c r="D36" s="19">
        <f t="shared" si="5"/>
        <v>-0.12100775833918243</v>
      </c>
      <c r="E36" s="19">
        <f t="shared" si="5"/>
        <v>-0.19199307625803108</v>
      </c>
      <c r="F36" s="19">
        <f t="shared" si="5"/>
        <v>-0.19428542238835569</v>
      </c>
      <c r="G36" s="19">
        <f t="shared" si="5"/>
        <v>-5.2372686249342604E-2</v>
      </c>
      <c r="H36" s="19">
        <f t="shared" si="5"/>
        <v>-4.2023771756266849E-2</v>
      </c>
      <c r="I36" s="19">
        <f t="shared" si="5"/>
        <v>-5.3454652937483096E-2</v>
      </c>
      <c r="J36" s="19">
        <f t="shared" si="5"/>
        <v>-4.8729559672834571E-2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-130741000</v>
      </c>
      <c r="C39" s="4">
        <v>-192194000</v>
      </c>
      <c r="D39" s="4">
        <v>-155138000</v>
      </c>
      <c r="E39" s="4">
        <v>-172311000</v>
      </c>
      <c r="F39" s="5">
        <v>-189737000</v>
      </c>
      <c r="G39" s="4">
        <v>-48455000</v>
      </c>
      <c r="H39" s="4">
        <v>-38733000</v>
      </c>
      <c r="I39" s="4">
        <v>-52469000</v>
      </c>
      <c r="J39" s="4">
        <v>-50080000</v>
      </c>
    </row>
    <row r="40" spans="1:10" ht="16" x14ac:dyDescent="0.2">
      <c r="A40" s="3" t="s">
        <v>39</v>
      </c>
      <c r="B40" s="4">
        <v>132492000</v>
      </c>
      <c r="C40" s="4">
        <v>132492000</v>
      </c>
      <c r="D40" s="4">
        <v>79755000</v>
      </c>
      <c r="E40" s="4">
        <v>148407000</v>
      </c>
      <c r="F40" s="5">
        <v>151088000</v>
      </c>
      <c r="G40" s="4">
        <v>148883000</v>
      </c>
      <c r="H40" s="4">
        <v>150192000</v>
      </c>
      <c r="I40" s="4">
        <v>151692000</v>
      </c>
      <c r="J40" s="4">
        <v>153644000</v>
      </c>
    </row>
    <row r="41" spans="1:10" ht="16" x14ac:dyDescent="0.2">
      <c r="A41" s="3" t="s">
        <v>40</v>
      </c>
      <c r="B41" s="6">
        <v>-0.99</v>
      </c>
      <c r="C41" s="6">
        <v>-1.45</v>
      </c>
      <c r="D41" s="6">
        <v>-1.95</v>
      </c>
      <c r="E41" s="6">
        <v>-1.1599999999999999</v>
      </c>
      <c r="F41" s="7">
        <v>-1.26</v>
      </c>
      <c r="G41" s="6">
        <v>-0.33</v>
      </c>
      <c r="H41" s="6">
        <v>-0.26</v>
      </c>
      <c r="I41" s="6">
        <v>-0.35</v>
      </c>
      <c r="J41" s="6">
        <v>-0.33</v>
      </c>
    </row>
    <row r="42" spans="1:10" ht="16" x14ac:dyDescent="0.2">
      <c r="A42" s="3" t="s">
        <v>41</v>
      </c>
      <c r="B42" s="6">
        <v>-0.99</v>
      </c>
      <c r="C42" s="6">
        <v>-1.45</v>
      </c>
      <c r="D42" s="6">
        <v>-1.98</v>
      </c>
      <c r="E42" s="6">
        <v>-1.22</v>
      </c>
      <c r="F42" s="7">
        <v>-1.3</v>
      </c>
      <c r="G42" s="6">
        <v>-0.34</v>
      </c>
      <c r="H42" s="6">
        <v>-0.28000000000000003</v>
      </c>
      <c r="I42" s="6">
        <v>-0.35</v>
      </c>
      <c r="J42" s="6">
        <v>-0.33</v>
      </c>
    </row>
    <row r="43" spans="1:10" ht="16" x14ac:dyDescent="0.2">
      <c r="A43" s="3" t="s">
        <v>42</v>
      </c>
      <c r="B43" s="4">
        <v>132492000</v>
      </c>
      <c r="C43" s="4">
        <v>132492000</v>
      </c>
      <c r="D43" s="4">
        <v>79755000</v>
      </c>
      <c r="E43" s="4">
        <v>148407000</v>
      </c>
      <c r="F43" s="5">
        <v>151088000</v>
      </c>
      <c r="G43" s="4">
        <v>148883000</v>
      </c>
      <c r="H43" s="4">
        <v>150192000</v>
      </c>
      <c r="I43" s="4">
        <v>151692000</v>
      </c>
      <c r="J43" s="4">
        <v>153644000</v>
      </c>
    </row>
    <row r="44" spans="1:10" ht="16" x14ac:dyDescent="0.2">
      <c r="A44" s="3" t="s">
        <v>43</v>
      </c>
      <c r="B44" s="6">
        <v>-0.99</v>
      </c>
      <c r="C44" s="6">
        <v>-1.45</v>
      </c>
      <c r="D44" s="6">
        <v>-1.95</v>
      </c>
      <c r="E44" s="6">
        <v>-1.1599999999999999</v>
      </c>
      <c r="F44" s="7">
        <v>-1.26</v>
      </c>
      <c r="G44" s="6">
        <v>-0.33</v>
      </c>
      <c r="H44" s="6">
        <v>-0.26</v>
      </c>
      <c r="I44" s="6">
        <v>-0.35</v>
      </c>
      <c r="J44" s="6">
        <v>-0.33</v>
      </c>
    </row>
    <row r="45" spans="1:10" ht="16" x14ac:dyDescent="0.2">
      <c r="A45" s="3" t="s">
        <v>44</v>
      </c>
      <c r="B45" s="6">
        <v>-0.99</v>
      </c>
      <c r="C45" s="6">
        <v>-1.45</v>
      </c>
      <c r="D45" s="6">
        <v>-1.98</v>
      </c>
      <c r="E45" s="6">
        <v>-1.22</v>
      </c>
      <c r="F45" s="7">
        <v>-1.3</v>
      </c>
      <c r="G45" s="6">
        <v>-0.34</v>
      </c>
      <c r="H45" s="6">
        <v>-0.28000000000000003</v>
      </c>
      <c r="I45" s="6">
        <v>-0.35</v>
      </c>
      <c r="J45" s="6">
        <v>-0.33</v>
      </c>
    </row>
    <row r="46" spans="1:10" ht="16" x14ac:dyDescent="0.2">
      <c r="A46" s="3" t="s">
        <v>45</v>
      </c>
      <c r="B46" s="4">
        <v>-128367000</v>
      </c>
      <c r="C46" s="4">
        <v>-213662000</v>
      </c>
      <c r="D46" s="4">
        <v>-127749000</v>
      </c>
      <c r="E46" s="4">
        <v>-205818000</v>
      </c>
      <c r="F46" s="5">
        <v>-209064000</v>
      </c>
      <c r="G46" s="4">
        <v>-55459000</v>
      </c>
      <c r="H46" s="4">
        <v>-44646000</v>
      </c>
      <c r="I46" s="4">
        <v>-56562000</v>
      </c>
      <c r="J46" s="4">
        <v>-52397000</v>
      </c>
    </row>
    <row r="47" spans="1:10" ht="16" x14ac:dyDescent="0.2">
      <c r="A47" s="3" t="s">
        <v>46</v>
      </c>
      <c r="B47" s="6">
        <v>-158.03</v>
      </c>
      <c r="C47" s="6">
        <v>-140.4</v>
      </c>
      <c r="D47" s="6">
        <v>-50.56</v>
      </c>
      <c r="E47" s="6">
        <v>-48.5</v>
      </c>
      <c r="F47" s="7">
        <v>-41.62</v>
      </c>
      <c r="G47" s="6">
        <v>-52.94</v>
      </c>
      <c r="H47" s="6">
        <v>-48.5</v>
      </c>
      <c r="I47" s="6">
        <v>-47.57</v>
      </c>
      <c r="J47" s="6">
        <v>-41.62</v>
      </c>
    </row>
    <row r="48" spans="1:10" ht="16" x14ac:dyDescent="0.2">
      <c r="A48" s="3" t="s">
        <v>47</v>
      </c>
      <c r="B48" s="4">
        <v>-128367000</v>
      </c>
      <c r="C48" s="4">
        <v>-213884000</v>
      </c>
      <c r="D48" s="4">
        <v>-128957000</v>
      </c>
      <c r="E48" s="4">
        <v>-211411000</v>
      </c>
      <c r="F48" s="5">
        <v>-215526000</v>
      </c>
      <c r="G48" s="4">
        <v>-56962000</v>
      </c>
      <c r="H48" s="4">
        <v>-46274000</v>
      </c>
      <c r="I48" s="4">
        <v>-58233000</v>
      </c>
      <c r="J48" s="4">
        <v>-54057000</v>
      </c>
    </row>
    <row r="49" spans="1:10" ht="16" x14ac:dyDescent="0.2">
      <c r="A49" s="3" t="s">
        <v>48</v>
      </c>
      <c r="B49" s="4">
        <v>-128367000</v>
      </c>
      <c r="C49" s="4">
        <v>-213884000</v>
      </c>
      <c r="D49" s="4">
        <v>-128957000</v>
      </c>
      <c r="E49" s="4">
        <v>-211411000</v>
      </c>
      <c r="F49" s="5">
        <v>-215526000</v>
      </c>
      <c r="G49" s="4">
        <v>-56962000</v>
      </c>
      <c r="H49" s="4">
        <v>-46274000</v>
      </c>
      <c r="I49" s="4">
        <v>-58233000</v>
      </c>
      <c r="J49" s="4">
        <v>-54057000</v>
      </c>
    </row>
    <row r="50" spans="1:10" ht="16" x14ac:dyDescent="0.2">
      <c r="A50" s="3" t="s">
        <v>52</v>
      </c>
      <c r="B50" s="4" t="s">
        <v>15</v>
      </c>
      <c r="C50" s="4" t="s">
        <v>15</v>
      </c>
      <c r="D50" s="4" t="s">
        <v>15</v>
      </c>
      <c r="E50" s="4">
        <v>195547</v>
      </c>
      <c r="F50" s="5">
        <v>231496</v>
      </c>
      <c r="G50" s="4" t="s">
        <v>15</v>
      </c>
      <c r="H50" s="4">
        <v>56639</v>
      </c>
      <c r="I50" s="4">
        <v>58469</v>
      </c>
      <c r="J50" s="4">
        <v>64323</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t="s">
        <v>15</v>
      </c>
      <c r="C52" s="4">
        <v>222000</v>
      </c>
      <c r="D52" s="4">
        <v>1208000</v>
      </c>
      <c r="E52" s="4">
        <v>5593000</v>
      </c>
      <c r="F52" s="5">
        <v>6462000</v>
      </c>
      <c r="G52" s="4">
        <v>1503000</v>
      </c>
      <c r="H52" s="4">
        <v>1628000</v>
      </c>
      <c r="I52" s="4">
        <v>1671000</v>
      </c>
      <c r="J52" s="4">
        <v>1660000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384475000</v>
      </c>
      <c r="C55" s="4">
        <v>348493000</v>
      </c>
      <c r="D55" s="4">
        <v>1051843000</v>
      </c>
      <c r="E55" s="4">
        <v>1117962000</v>
      </c>
      <c r="F55" s="5">
        <v>1143220000</v>
      </c>
      <c r="G55" s="4">
        <v>1069385000</v>
      </c>
      <c r="H55" s="4">
        <v>1117962000</v>
      </c>
      <c r="I55" s="4">
        <v>1115220000</v>
      </c>
      <c r="J55" s="4">
        <v>1143220000</v>
      </c>
    </row>
    <row r="56" spans="1:10" ht="16" x14ac:dyDescent="0.2">
      <c r="A56" s="3" t="s">
        <v>56</v>
      </c>
      <c r="B56" s="4">
        <v>343327000</v>
      </c>
      <c r="C56" s="4">
        <v>282850000</v>
      </c>
      <c r="D56" s="4">
        <v>934703000</v>
      </c>
      <c r="E56" s="4">
        <v>936651000</v>
      </c>
      <c r="F56" s="5">
        <v>986283000</v>
      </c>
      <c r="G56" s="4">
        <v>927752000</v>
      </c>
      <c r="H56" s="4">
        <v>936651000</v>
      </c>
      <c r="I56" s="4">
        <v>937639000</v>
      </c>
      <c r="J56" s="4">
        <v>986283000</v>
      </c>
    </row>
    <row r="57" spans="1:10" ht="16" x14ac:dyDescent="0.2">
      <c r="A57" s="3" t="s">
        <v>57</v>
      </c>
      <c r="B57" s="4">
        <v>343327000</v>
      </c>
      <c r="C57" s="4">
        <v>282850000</v>
      </c>
      <c r="D57" s="4">
        <v>884672000</v>
      </c>
      <c r="E57" s="4">
        <v>295402000</v>
      </c>
      <c r="F57" s="5">
        <v>273225000</v>
      </c>
      <c r="G57" s="4">
        <v>372169000</v>
      </c>
      <c r="H57" s="4">
        <v>295402000</v>
      </c>
      <c r="I57" s="4">
        <v>315933000</v>
      </c>
      <c r="J57" s="4">
        <v>273225000</v>
      </c>
    </row>
    <row r="58" spans="1:10" ht="16" x14ac:dyDescent="0.2">
      <c r="A58" s="3" t="s">
        <v>58</v>
      </c>
      <c r="B58" s="4" t="s">
        <v>15</v>
      </c>
      <c r="C58" s="4" t="s">
        <v>15</v>
      </c>
      <c r="D58" s="4">
        <v>50031000</v>
      </c>
      <c r="E58" s="4">
        <v>641249000</v>
      </c>
      <c r="F58" s="5">
        <v>713058000</v>
      </c>
      <c r="G58" s="4">
        <v>555583000</v>
      </c>
      <c r="H58" s="4">
        <v>641249000</v>
      </c>
      <c r="I58" s="4">
        <v>621706000</v>
      </c>
      <c r="J58" s="4">
        <v>713058000</v>
      </c>
    </row>
    <row r="59" spans="1:10" ht="16" x14ac:dyDescent="0.2">
      <c r="A59" s="3" t="s">
        <v>59</v>
      </c>
      <c r="B59" s="4">
        <v>25303000</v>
      </c>
      <c r="C59" s="4">
        <v>39672000</v>
      </c>
      <c r="D59" s="4">
        <v>77233000</v>
      </c>
      <c r="E59" s="4">
        <v>130479000</v>
      </c>
      <c r="F59" s="5">
        <v>105815000</v>
      </c>
      <c r="G59" s="4">
        <v>97580000</v>
      </c>
      <c r="H59" s="4">
        <v>130479000</v>
      </c>
      <c r="I59" s="4">
        <v>126079000</v>
      </c>
      <c r="J59" s="4">
        <v>105815000</v>
      </c>
    </row>
    <row r="60" spans="1:10" ht="16" x14ac:dyDescent="0.2">
      <c r="A60" s="3" t="s">
        <v>60</v>
      </c>
      <c r="B60" s="4">
        <v>24776000</v>
      </c>
      <c r="C60" s="4">
        <v>39651000</v>
      </c>
      <c r="D60" s="4">
        <v>77233000</v>
      </c>
      <c r="E60" s="4">
        <v>130479000</v>
      </c>
      <c r="F60" s="5">
        <v>105815000</v>
      </c>
      <c r="G60" s="4">
        <v>97580000</v>
      </c>
      <c r="H60" s="4">
        <v>130479000</v>
      </c>
      <c r="I60" s="4">
        <v>126079000</v>
      </c>
      <c r="J60" s="4">
        <v>105815000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527000</v>
      </c>
      <c r="C63" s="4">
        <v>21000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15845000</v>
      </c>
      <c r="C70" s="4">
        <v>25971000</v>
      </c>
      <c r="D70" s="4">
        <v>39907000</v>
      </c>
      <c r="E70" s="4">
        <v>50832000</v>
      </c>
      <c r="F70" s="5">
        <v>51122000</v>
      </c>
      <c r="G70" s="4">
        <v>44053000</v>
      </c>
      <c r="H70" s="4">
        <v>50832000</v>
      </c>
      <c r="I70" s="4">
        <v>51502000</v>
      </c>
      <c r="J70" s="4">
        <v>51122000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7373000</v>
      </c>
      <c r="C76" s="4">
        <v>14073000</v>
      </c>
      <c r="D76" s="4">
        <v>39595000</v>
      </c>
      <c r="E76" s="4">
        <v>51238000</v>
      </c>
      <c r="F76" s="5">
        <v>45849000</v>
      </c>
      <c r="G76" s="4">
        <v>50856000</v>
      </c>
      <c r="H76" s="4">
        <v>51238000</v>
      </c>
      <c r="I76" s="4">
        <v>48888000</v>
      </c>
      <c r="J76" s="4">
        <v>45849000</v>
      </c>
    </row>
    <row r="77" spans="1:10" ht="16" x14ac:dyDescent="0.2">
      <c r="A77" s="3" t="s">
        <v>77</v>
      </c>
      <c r="B77" s="4" t="s">
        <v>15</v>
      </c>
      <c r="C77" s="4" t="s">
        <v>15</v>
      </c>
      <c r="D77" s="4">
        <v>3271000</v>
      </c>
      <c r="E77" s="4">
        <v>2803000</v>
      </c>
      <c r="F77" s="5">
        <v>-1455000</v>
      </c>
      <c r="G77" s="4">
        <v>5560000</v>
      </c>
      <c r="H77" s="4">
        <v>2803000</v>
      </c>
      <c r="I77" s="4">
        <v>1152000</v>
      </c>
      <c r="J77" s="4">
        <v>-1455000</v>
      </c>
    </row>
    <row r="78" spans="1:10" ht="16" x14ac:dyDescent="0.2">
      <c r="A78" s="3" t="s">
        <v>78</v>
      </c>
      <c r="B78" s="4" t="s">
        <v>15</v>
      </c>
      <c r="C78" s="4" t="s">
        <v>15</v>
      </c>
      <c r="D78" s="4">
        <v>3814000</v>
      </c>
      <c r="E78" s="4">
        <v>6795000</v>
      </c>
      <c r="F78" s="5">
        <v>4753000</v>
      </c>
      <c r="G78" s="4">
        <v>8283000</v>
      </c>
      <c r="H78" s="4">
        <v>6795000</v>
      </c>
      <c r="I78" s="4">
        <v>6236000</v>
      </c>
      <c r="J78" s="4">
        <v>4753000</v>
      </c>
    </row>
    <row r="79" spans="1:10" ht="16" x14ac:dyDescent="0.2">
      <c r="A79" s="3" t="s">
        <v>79</v>
      </c>
      <c r="B79" s="4" t="s">
        <v>15</v>
      </c>
      <c r="C79" s="4" t="s">
        <v>15</v>
      </c>
      <c r="D79" s="4">
        <v>543000</v>
      </c>
      <c r="E79" s="4">
        <v>3992000</v>
      </c>
      <c r="F79" s="5">
        <v>6208000</v>
      </c>
      <c r="G79" s="4">
        <v>2723000</v>
      </c>
      <c r="H79" s="4">
        <v>3992000</v>
      </c>
      <c r="I79" s="4">
        <v>5084000</v>
      </c>
      <c r="J79" s="4">
        <v>6208000</v>
      </c>
    </row>
    <row r="80" spans="1:10" ht="16" x14ac:dyDescent="0.2">
      <c r="A80" s="3" t="s">
        <v>80</v>
      </c>
      <c r="B80" s="4" t="s">
        <v>15</v>
      </c>
      <c r="C80" s="4" t="s">
        <v>15</v>
      </c>
      <c r="D80" s="4" t="s">
        <v>15</v>
      </c>
      <c r="E80" s="4">
        <v>12682000</v>
      </c>
      <c r="F80" s="5">
        <v>10574000</v>
      </c>
      <c r="G80" s="4">
        <v>13624000</v>
      </c>
      <c r="H80" s="4">
        <v>12682000</v>
      </c>
      <c r="I80" s="4">
        <v>11735000</v>
      </c>
      <c r="J80" s="4">
        <v>10574000</v>
      </c>
    </row>
    <row r="81" spans="1:10" ht="16" x14ac:dyDescent="0.2">
      <c r="A81" s="3" t="s">
        <v>81</v>
      </c>
      <c r="B81" s="4" t="s">
        <v>15</v>
      </c>
      <c r="C81" s="4" t="s">
        <v>15</v>
      </c>
      <c r="D81" s="4" t="s">
        <v>15</v>
      </c>
      <c r="E81" s="4">
        <v>12682000</v>
      </c>
      <c r="F81" s="5">
        <v>10574000</v>
      </c>
      <c r="G81" s="4">
        <v>13624000</v>
      </c>
      <c r="H81" s="4">
        <v>12682000</v>
      </c>
      <c r="I81" s="4">
        <v>11735000</v>
      </c>
      <c r="J81" s="4">
        <v>10574000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7373000</v>
      </c>
      <c r="C83" s="4">
        <v>14073000</v>
      </c>
      <c r="D83" s="4">
        <v>36324000</v>
      </c>
      <c r="E83" s="4">
        <v>35753000</v>
      </c>
      <c r="F83" s="5">
        <v>36730000</v>
      </c>
      <c r="G83" s="4">
        <v>31672000</v>
      </c>
      <c r="H83" s="4">
        <v>35753000</v>
      </c>
      <c r="I83" s="4">
        <v>36001000</v>
      </c>
      <c r="J83" s="4">
        <v>36730000</v>
      </c>
    </row>
    <row r="84" spans="1:10" ht="16" x14ac:dyDescent="0.2">
      <c r="A84" s="3" t="s">
        <v>84</v>
      </c>
      <c r="B84" s="4" t="s">
        <v>15</v>
      </c>
      <c r="C84" s="4">
        <v>797000</v>
      </c>
      <c r="D84" s="4">
        <v>14430000</v>
      </c>
      <c r="E84" s="4">
        <v>12046000</v>
      </c>
      <c r="F84" s="5">
        <v>10919000</v>
      </c>
      <c r="G84" s="4">
        <v>12629000</v>
      </c>
      <c r="H84" s="4">
        <v>12046000</v>
      </c>
      <c r="I84" s="4">
        <v>11466000</v>
      </c>
      <c r="J84" s="4">
        <v>10919000</v>
      </c>
    </row>
    <row r="85" spans="1:10" ht="16" x14ac:dyDescent="0.2">
      <c r="A85" s="3" t="s">
        <v>85</v>
      </c>
      <c r="B85" s="4" t="s">
        <v>15</v>
      </c>
      <c r="C85" s="4" t="s">
        <v>15</v>
      </c>
      <c r="D85" s="4">
        <v>8145000</v>
      </c>
      <c r="E85" s="4">
        <v>8145000</v>
      </c>
      <c r="F85" s="5">
        <v>8145000</v>
      </c>
      <c r="G85" s="4">
        <v>8145000</v>
      </c>
      <c r="H85" s="4">
        <v>8145000</v>
      </c>
      <c r="I85" s="4">
        <v>8145000</v>
      </c>
      <c r="J85" s="4">
        <v>8145000</v>
      </c>
    </row>
    <row r="86" spans="1:10" ht="16" x14ac:dyDescent="0.2">
      <c r="A86" s="3" t="s">
        <v>86</v>
      </c>
      <c r="B86" s="4" t="s">
        <v>15</v>
      </c>
      <c r="C86" s="4">
        <v>797000</v>
      </c>
      <c r="D86" s="4">
        <v>6285000</v>
      </c>
      <c r="E86" s="4">
        <v>3901000</v>
      </c>
      <c r="F86" s="5">
        <v>2774000</v>
      </c>
      <c r="G86" s="4">
        <v>4484000</v>
      </c>
      <c r="H86" s="4">
        <v>3901000</v>
      </c>
      <c r="I86" s="4">
        <v>3321000</v>
      </c>
      <c r="J86" s="4">
        <v>2774000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7373000</v>
      </c>
      <c r="C89" s="4">
        <v>13276000</v>
      </c>
      <c r="D89" s="4">
        <v>21894000</v>
      </c>
      <c r="E89" s="4">
        <v>23707000</v>
      </c>
      <c r="F89" s="5">
        <v>25811000</v>
      </c>
      <c r="G89" s="4">
        <v>19043000</v>
      </c>
      <c r="H89" s="4">
        <v>23707000</v>
      </c>
      <c r="I89" s="4">
        <v>24535000</v>
      </c>
      <c r="J89" s="4">
        <v>25811000</v>
      </c>
    </row>
    <row r="90" spans="1:10" ht="16" x14ac:dyDescent="0.2">
      <c r="A90" s="3" t="s">
        <v>90</v>
      </c>
      <c r="B90" s="4">
        <v>391848000</v>
      </c>
      <c r="C90" s="4">
        <v>362566000</v>
      </c>
      <c r="D90" s="4">
        <v>1091438000</v>
      </c>
      <c r="E90" s="4">
        <v>1169200000</v>
      </c>
      <c r="F90" s="5">
        <v>1189069000</v>
      </c>
      <c r="G90" s="4">
        <v>1120241000</v>
      </c>
      <c r="H90" s="4">
        <v>1169200000</v>
      </c>
      <c r="I90" s="4">
        <v>1164108000</v>
      </c>
      <c r="J90" s="4">
        <v>1189069000</v>
      </c>
    </row>
    <row r="91" spans="1:10" ht="16" x14ac:dyDescent="0.2">
      <c r="A91" s="3" t="s">
        <v>91</v>
      </c>
      <c r="B91" s="4">
        <v>7444000</v>
      </c>
      <c r="C91" s="4">
        <v>9234000</v>
      </c>
      <c r="D91" s="4">
        <v>29555000</v>
      </c>
      <c r="E91" s="4">
        <v>31138000</v>
      </c>
      <c r="F91" s="5">
        <v>28808000</v>
      </c>
      <c r="G91" s="4">
        <v>29986000</v>
      </c>
      <c r="H91" s="4">
        <v>31138000</v>
      </c>
      <c r="I91" s="4">
        <v>31914000</v>
      </c>
      <c r="J91" s="4">
        <v>28808000</v>
      </c>
    </row>
    <row r="92" spans="1:10" ht="16" x14ac:dyDescent="0.2">
      <c r="A92" s="3" t="s">
        <v>92</v>
      </c>
      <c r="B92" s="4">
        <v>1673000</v>
      </c>
      <c r="C92" s="4">
        <v>3111000</v>
      </c>
      <c r="D92" s="4">
        <v>4984000</v>
      </c>
      <c r="E92" s="4">
        <v>5184000</v>
      </c>
      <c r="F92" s="5">
        <v>4165000</v>
      </c>
      <c r="G92" s="4">
        <v>6233000</v>
      </c>
      <c r="H92" s="4">
        <v>5184000</v>
      </c>
      <c r="I92" s="4">
        <v>3029000</v>
      </c>
      <c r="J92" s="4">
        <v>4165000</v>
      </c>
    </row>
    <row r="93" spans="1:10" ht="16" x14ac:dyDescent="0.2">
      <c r="A93" s="3" t="s">
        <v>93</v>
      </c>
      <c r="B93" s="4">
        <v>1573000</v>
      </c>
      <c r="C93" s="4">
        <v>2113000</v>
      </c>
      <c r="D93" s="4">
        <v>4363000</v>
      </c>
      <c r="E93" s="4">
        <v>5357000</v>
      </c>
      <c r="F93" s="5">
        <v>5942000</v>
      </c>
      <c r="G93" s="4">
        <v>3371000</v>
      </c>
      <c r="H93" s="4">
        <v>5357000</v>
      </c>
      <c r="I93" s="4">
        <v>4175000</v>
      </c>
      <c r="J93" s="4">
        <v>5942000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4198000</v>
      </c>
      <c r="C95" s="4">
        <v>4010000</v>
      </c>
      <c r="D95" s="4">
        <v>20208000</v>
      </c>
      <c r="E95" s="4">
        <v>20597000</v>
      </c>
      <c r="F95" s="5">
        <v>18701000</v>
      </c>
      <c r="G95" s="4">
        <v>20382000</v>
      </c>
      <c r="H95" s="4">
        <v>20597000</v>
      </c>
      <c r="I95" s="4">
        <v>24710000</v>
      </c>
      <c r="J95" s="4">
        <v>18701000</v>
      </c>
    </row>
    <row r="96" spans="1:10" ht="16" x14ac:dyDescent="0.2">
      <c r="A96" s="3" t="s">
        <v>96</v>
      </c>
      <c r="B96" s="4">
        <v>0</v>
      </c>
      <c r="C96" s="4">
        <v>0</v>
      </c>
      <c r="D96" s="4">
        <v>0</v>
      </c>
      <c r="E96" s="4">
        <v>716000</v>
      </c>
      <c r="F96" s="5">
        <v>617000</v>
      </c>
      <c r="G96" s="4">
        <v>617000</v>
      </c>
      <c r="H96" s="4">
        <v>716000</v>
      </c>
      <c r="I96" s="4">
        <v>911000</v>
      </c>
      <c r="J96" s="4">
        <v>617000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v>716000</v>
      </c>
      <c r="F98" s="5">
        <v>617000</v>
      </c>
      <c r="G98" s="4" t="s">
        <v>15</v>
      </c>
      <c r="H98" s="4">
        <v>716000</v>
      </c>
      <c r="I98" s="4">
        <v>911000</v>
      </c>
      <c r="J98" s="4">
        <v>617000</v>
      </c>
    </row>
    <row r="99" spans="1:10" ht="16" x14ac:dyDescent="0.2">
      <c r="A99" s="3" t="s">
        <v>99</v>
      </c>
      <c r="B99" s="4">
        <v>70343000</v>
      </c>
      <c r="C99" s="4">
        <v>117947000</v>
      </c>
      <c r="D99" s="4">
        <v>212044000</v>
      </c>
      <c r="E99" s="4">
        <v>274442000</v>
      </c>
      <c r="F99" s="5">
        <v>291770000</v>
      </c>
      <c r="G99" s="4">
        <v>234493000</v>
      </c>
      <c r="H99" s="4">
        <v>274442000</v>
      </c>
      <c r="I99" s="4">
        <v>278228000</v>
      </c>
      <c r="J99" s="4">
        <v>291770000</v>
      </c>
    </row>
    <row r="100" spans="1:10" ht="16" x14ac:dyDescent="0.2">
      <c r="A100" s="3" t="s">
        <v>100</v>
      </c>
      <c r="B100" s="4">
        <v>61518000</v>
      </c>
      <c r="C100" s="4">
        <v>103543000</v>
      </c>
      <c r="D100" s="4">
        <v>179224000</v>
      </c>
      <c r="E100" s="4">
        <v>254382000</v>
      </c>
      <c r="F100" s="5">
        <v>268883000</v>
      </c>
      <c r="G100" s="4">
        <v>217777000</v>
      </c>
      <c r="H100" s="4">
        <v>254382000</v>
      </c>
      <c r="I100" s="4">
        <v>263423000</v>
      </c>
      <c r="J100" s="4">
        <v>268883000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8825000</v>
      </c>
      <c r="C103" s="4">
        <v>14404000</v>
      </c>
      <c r="D103" s="4">
        <v>32820000</v>
      </c>
      <c r="E103" s="4">
        <v>20060000</v>
      </c>
      <c r="F103" s="5">
        <v>22887000</v>
      </c>
      <c r="G103" s="4">
        <v>16716000</v>
      </c>
      <c r="H103" s="4">
        <v>20060000</v>
      </c>
      <c r="I103" s="4">
        <v>14805000</v>
      </c>
      <c r="J103" s="4">
        <v>22887000</v>
      </c>
    </row>
    <row r="104" spans="1:10" ht="16" x14ac:dyDescent="0.2">
      <c r="A104" s="3" t="s">
        <v>104</v>
      </c>
      <c r="B104" s="4">
        <v>77787000</v>
      </c>
      <c r="C104" s="4">
        <v>127181000</v>
      </c>
      <c r="D104" s="4">
        <v>241599000</v>
      </c>
      <c r="E104" s="4">
        <v>306296000</v>
      </c>
      <c r="F104" s="5">
        <v>321195000</v>
      </c>
      <c r="G104" s="4">
        <v>264479000</v>
      </c>
      <c r="H104" s="4">
        <v>306296000</v>
      </c>
      <c r="I104" s="4">
        <v>311053000</v>
      </c>
      <c r="J104" s="4">
        <v>321195000</v>
      </c>
    </row>
    <row r="105" spans="1:10" ht="16" x14ac:dyDescent="0.2">
      <c r="A105" s="3" t="s">
        <v>105</v>
      </c>
      <c r="B105" s="4">
        <v>0</v>
      </c>
      <c r="C105" s="4">
        <v>0</v>
      </c>
      <c r="D105" s="4">
        <v>0</v>
      </c>
      <c r="E105" s="4">
        <v>413000</v>
      </c>
      <c r="F105" s="5">
        <v>138000</v>
      </c>
      <c r="G105" s="4">
        <v>413000</v>
      </c>
      <c r="H105" s="4">
        <v>413000</v>
      </c>
      <c r="I105" s="4">
        <v>531000</v>
      </c>
      <c r="J105" s="4">
        <v>138000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413000</v>
      </c>
      <c r="F107" s="5">
        <v>138000</v>
      </c>
      <c r="G107" s="4" t="s">
        <v>15</v>
      </c>
      <c r="H107" s="4">
        <v>413000</v>
      </c>
      <c r="I107" s="4">
        <v>531000</v>
      </c>
      <c r="J107" s="4">
        <v>138000</v>
      </c>
    </row>
    <row r="108" spans="1:10" ht="16" x14ac:dyDescent="0.2">
      <c r="A108" s="3" t="s">
        <v>108</v>
      </c>
      <c r="B108" s="4">
        <v>448808000</v>
      </c>
      <c r="C108" s="4">
        <v>466607000</v>
      </c>
      <c r="D108" s="4">
        <v>50570000</v>
      </c>
      <c r="E108" s="4">
        <v>37766000</v>
      </c>
      <c r="F108" s="5">
        <v>36496000</v>
      </c>
      <c r="G108" s="4">
        <v>41071000</v>
      </c>
      <c r="H108" s="4">
        <v>37766000</v>
      </c>
      <c r="I108" s="4">
        <v>36923000</v>
      </c>
      <c r="J108" s="4">
        <v>36496000</v>
      </c>
    </row>
    <row r="109" spans="1:10" ht="16" x14ac:dyDescent="0.2">
      <c r="A109" s="3" t="s">
        <v>109</v>
      </c>
      <c r="B109" s="4">
        <v>18743000</v>
      </c>
      <c r="C109" s="4">
        <v>30625000</v>
      </c>
      <c r="D109" s="4">
        <v>32568000</v>
      </c>
      <c r="E109" s="4">
        <v>28355000</v>
      </c>
      <c r="F109" s="5">
        <v>25860000</v>
      </c>
      <c r="G109" s="4">
        <v>28946000</v>
      </c>
      <c r="H109" s="4">
        <v>28355000</v>
      </c>
      <c r="I109" s="4">
        <v>28043000</v>
      </c>
      <c r="J109" s="4">
        <v>25860000</v>
      </c>
    </row>
    <row r="110" spans="1:10" ht="16" x14ac:dyDescent="0.2">
      <c r="A110" s="3" t="s">
        <v>110</v>
      </c>
      <c r="B110" s="4" t="s">
        <v>15</v>
      </c>
      <c r="C110" s="4" t="s">
        <v>15</v>
      </c>
      <c r="D110" s="4">
        <v>2573000</v>
      </c>
      <c r="E110" s="4">
        <v>2504000</v>
      </c>
      <c r="F110" s="5">
        <v>2586000</v>
      </c>
      <c r="G110" s="4" t="s">
        <v>15</v>
      </c>
      <c r="H110" s="4">
        <v>2504000</v>
      </c>
      <c r="I110" s="4">
        <v>2531000</v>
      </c>
      <c r="J110" s="4">
        <v>2586000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430065000</v>
      </c>
      <c r="C114" s="4">
        <v>435982000</v>
      </c>
      <c r="D114" s="4">
        <v>15429000</v>
      </c>
      <c r="E114" s="4">
        <v>6907000</v>
      </c>
      <c r="F114" s="5">
        <v>8050000</v>
      </c>
      <c r="G114" s="4">
        <v>12125000</v>
      </c>
      <c r="H114" s="4">
        <v>6907000</v>
      </c>
      <c r="I114" s="4">
        <v>6349000</v>
      </c>
      <c r="J114" s="4">
        <v>8050000</v>
      </c>
    </row>
    <row r="115" spans="1:10" ht="16" x14ac:dyDescent="0.2">
      <c r="A115" s="3" t="s">
        <v>112</v>
      </c>
      <c r="B115" s="4">
        <v>448808000</v>
      </c>
      <c r="C115" s="4">
        <v>466607000</v>
      </c>
      <c r="D115" s="4">
        <v>50570000</v>
      </c>
      <c r="E115" s="4">
        <v>38179000</v>
      </c>
      <c r="F115" s="5">
        <v>36634000</v>
      </c>
      <c r="G115" s="4">
        <v>41071000</v>
      </c>
      <c r="H115" s="4">
        <v>38179000</v>
      </c>
      <c r="I115" s="4">
        <v>37454000</v>
      </c>
      <c r="J115" s="4">
        <v>36634000</v>
      </c>
    </row>
    <row r="116" spans="1:10" ht="16" x14ac:dyDescent="0.2">
      <c r="A116" s="3" t="s">
        <v>113</v>
      </c>
      <c r="B116" s="4">
        <v>526595000</v>
      </c>
      <c r="C116" s="4">
        <v>593788000</v>
      </c>
      <c r="D116" s="4">
        <v>292169000</v>
      </c>
      <c r="E116" s="4">
        <v>344475000</v>
      </c>
      <c r="F116" s="5">
        <v>357829000</v>
      </c>
      <c r="G116" s="4">
        <v>305550000</v>
      </c>
      <c r="H116" s="4">
        <v>344475000</v>
      </c>
      <c r="I116" s="4">
        <v>348507000</v>
      </c>
      <c r="J116" s="4">
        <v>357829000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67168000</v>
      </c>
      <c r="C118" s="4">
        <v>186892000</v>
      </c>
      <c r="D118" s="4">
        <v>1320479000</v>
      </c>
      <c r="E118" s="4">
        <v>1497373000</v>
      </c>
      <c r="F118" s="5">
        <v>1610072000</v>
      </c>
      <c r="G118" s="4">
        <v>1453349000</v>
      </c>
      <c r="H118" s="4">
        <v>1497373000</v>
      </c>
      <c r="I118" s="4">
        <v>1542603000</v>
      </c>
      <c r="J118" s="4">
        <v>1610072000</v>
      </c>
    </row>
    <row r="119" spans="1:10" ht="16" x14ac:dyDescent="0.2">
      <c r="A119" s="3" t="s">
        <v>116</v>
      </c>
      <c r="B119" s="4" t="s">
        <v>15</v>
      </c>
      <c r="C119" s="4" t="s">
        <v>15</v>
      </c>
      <c r="D119" s="4" t="s">
        <v>15</v>
      </c>
      <c r="E119" s="4" t="s">
        <v>15</v>
      </c>
      <c r="F119" s="5" t="s">
        <v>15</v>
      </c>
      <c r="G119" s="4" t="s">
        <v>15</v>
      </c>
      <c r="H119" s="4" t="s">
        <v>15</v>
      </c>
      <c r="I119" s="4" t="s">
        <v>15</v>
      </c>
      <c r="J119" s="4" t="s">
        <v>15</v>
      </c>
    </row>
    <row r="120" spans="1:10" ht="16" x14ac:dyDescent="0.2">
      <c r="A120" s="3" t="s">
        <v>117</v>
      </c>
      <c r="B120" s="4">
        <v>67168000</v>
      </c>
      <c r="C120" s="4">
        <v>186892000</v>
      </c>
      <c r="D120" s="4">
        <v>1320479000</v>
      </c>
      <c r="E120" s="4">
        <v>1497373000</v>
      </c>
      <c r="F120" s="5">
        <v>1610072000</v>
      </c>
      <c r="G120" s="4">
        <v>1453349000</v>
      </c>
      <c r="H120" s="4">
        <v>1497373000</v>
      </c>
      <c r="I120" s="4">
        <v>1542603000</v>
      </c>
      <c r="J120" s="4">
        <v>1610072000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-206005000</v>
      </c>
      <c r="C122" s="4">
        <v>-398199000</v>
      </c>
      <c r="D122" s="4">
        <v>-553337000</v>
      </c>
      <c r="E122" s="4">
        <v>-725648000</v>
      </c>
      <c r="F122" s="5">
        <v>-828197000</v>
      </c>
      <c r="G122" s="4">
        <v>-686915000</v>
      </c>
      <c r="H122" s="4">
        <v>-725648000</v>
      </c>
      <c r="I122" s="4">
        <v>-778117000</v>
      </c>
      <c r="J122" s="4">
        <v>-828197000</v>
      </c>
    </row>
    <row r="123" spans="1:10" ht="16" x14ac:dyDescent="0.2">
      <c r="A123" s="3" t="s">
        <v>120</v>
      </c>
      <c r="B123" s="4">
        <v>4090000</v>
      </c>
      <c r="C123" s="4">
        <v>-19915000</v>
      </c>
      <c r="D123" s="4">
        <v>7724000</v>
      </c>
      <c r="E123" s="4">
        <v>-705000</v>
      </c>
      <c r="F123" s="5">
        <v>1782000</v>
      </c>
      <c r="G123" s="4">
        <v>-2874000</v>
      </c>
      <c r="H123" s="4">
        <v>-705000</v>
      </c>
      <c r="I123" s="4">
        <v>1003000</v>
      </c>
      <c r="J123" s="4">
        <v>1782000</v>
      </c>
    </row>
    <row r="124" spans="1:10" ht="16" x14ac:dyDescent="0.2">
      <c r="A124" s="3" t="s">
        <v>121</v>
      </c>
      <c r="B124" s="4">
        <v>-134747000</v>
      </c>
      <c r="C124" s="4">
        <v>-231222000</v>
      </c>
      <c r="D124" s="4">
        <v>774866000</v>
      </c>
      <c r="E124" s="4">
        <v>771020000</v>
      </c>
      <c r="F124" s="5">
        <v>783657000</v>
      </c>
      <c r="G124" s="4">
        <v>763560000</v>
      </c>
      <c r="H124" s="4">
        <v>771020000</v>
      </c>
      <c r="I124" s="4">
        <v>765489000</v>
      </c>
      <c r="J124" s="4">
        <v>783657000</v>
      </c>
    </row>
    <row r="125" spans="1:10" ht="16" x14ac:dyDescent="0.2">
      <c r="A125" s="3" t="s">
        <v>122</v>
      </c>
      <c r="B125" s="4" t="s">
        <v>15</v>
      </c>
      <c r="C125" s="4" t="s">
        <v>15</v>
      </c>
      <c r="D125" s="4">
        <v>24403000</v>
      </c>
      <c r="E125" s="4">
        <v>53705000</v>
      </c>
      <c r="F125" s="5">
        <v>47583000</v>
      </c>
      <c r="G125" s="4">
        <v>51131000</v>
      </c>
      <c r="H125" s="4">
        <v>53705000</v>
      </c>
      <c r="I125" s="4">
        <v>50112000</v>
      </c>
      <c r="J125" s="4">
        <v>47583000</v>
      </c>
    </row>
    <row r="126" spans="1:10" ht="16" x14ac:dyDescent="0.2">
      <c r="A126" s="3" t="s">
        <v>123</v>
      </c>
      <c r="B126" s="4">
        <v>-134747000</v>
      </c>
      <c r="C126" s="4">
        <v>-231222000</v>
      </c>
      <c r="D126" s="4">
        <v>799269000</v>
      </c>
      <c r="E126" s="4">
        <v>824725000</v>
      </c>
      <c r="F126" s="5">
        <v>831240000</v>
      </c>
      <c r="G126" s="4">
        <v>814691000</v>
      </c>
      <c r="H126" s="4">
        <v>824725000</v>
      </c>
      <c r="I126" s="4">
        <v>815601000</v>
      </c>
      <c r="J126" s="4">
        <v>831240000</v>
      </c>
    </row>
    <row r="127" spans="1:10" ht="16" x14ac:dyDescent="0.2">
      <c r="A127" s="3" t="s">
        <v>124</v>
      </c>
      <c r="B127" s="4">
        <v>391848000</v>
      </c>
      <c r="C127" s="4">
        <v>362566000</v>
      </c>
      <c r="D127" s="4">
        <v>1091438000</v>
      </c>
      <c r="E127" s="4">
        <v>1169200000</v>
      </c>
      <c r="F127" s="5">
        <v>1189069000</v>
      </c>
      <c r="G127" s="4">
        <v>1120241000</v>
      </c>
      <c r="H127" s="4">
        <v>1169200000</v>
      </c>
      <c r="I127" s="4">
        <v>1164108000</v>
      </c>
      <c r="J127" s="4">
        <v>1189069000</v>
      </c>
    </row>
    <row r="128" spans="1:10" ht="16" x14ac:dyDescent="0.2">
      <c r="A128" s="28" t="s">
        <v>125</v>
      </c>
      <c r="B128" s="26">
        <v>143014821</v>
      </c>
      <c r="C128" s="26">
        <v>144546000</v>
      </c>
      <c r="D128" s="26">
        <v>146888000</v>
      </c>
      <c r="E128" s="26">
        <v>151144000</v>
      </c>
      <c r="F128" s="27">
        <v>154610000</v>
      </c>
      <c r="G128" s="26">
        <v>149654000</v>
      </c>
      <c r="H128" s="26">
        <v>151144000</v>
      </c>
      <c r="I128" s="26">
        <v>152693000</v>
      </c>
      <c r="J128" s="26">
        <v>154610000</v>
      </c>
    </row>
    <row r="129" spans="1:10" ht="16" x14ac:dyDescent="0.2">
      <c r="A129" s="15" t="s">
        <v>188</v>
      </c>
      <c r="B129" s="10"/>
      <c r="C129" s="20">
        <f>(C128/B128)-1</f>
        <v>1.0706435803601089E-2</v>
      </c>
      <c r="D129" s="20">
        <f>(D128/C128)-1</f>
        <v>1.6202454581932368E-2</v>
      </c>
      <c r="E129" s="20">
        <f>(E128/D128)-1</f>
        <v>2.8974456728936282E-2</v>
      </c>
      <c r="F129" s="20">
        <f t="shared" ref="F129:J129" si="6">(F128/E128)-1</f>
        <v>2.2931773672788758E-2</v>
      </c>
      <c r="G129" s="20">
        <f t="shared" si="6"/>
        <v>-3.2054847681262544E-2</v>
      </c>
      <c r="H129" s="20">
        <f t="shared" si="6"/>
        <v>9.9562991968140668E-3</v>
      </c>
      <c r="I129" s="20">
        <f t="shared" si="6"/>
        <v>1.0248504737204289E-2</v>
      </c>
      <c r="J129" s="20">
        <f t="shared" si="6"/>
        <v>1.2554603026988742E-2</v>
      </c>
    </row>
    <row r="130" spans="1:10" ht="16" x14ac:dyDescent="0.2">
      <c r="A130" s="3" t="s">
        <v>126</v>
      </c>
      <c r="B130" s="4" t="s">
        <v>15</v>
      </c>
      <c r="C130" s="4" t="s">
        <v>15</v>
      </c>
      <c r="D130" s="4" t="s">
        <v>15</v>
      </c>
      <c r="E130" s="4">
        <v>1129000</v>
      </c>
      <c r="F130" s="5">
        <v>755000</v>
      </c>
      <c r="G130" s="4" t="s">
        <v>15</v>
      </c>
      <c r="H130" s="4">
        <v>1129000</v>
      </c>
      <c r="I130" s="4">
        <v>1442000</v>
      </c>
      <c r="J130" s="4">
        <v>755000</v>
      </c>
    </row>
    <row r="131" spans="1:10" ht="16" x14ac:dyDescent="0.2">
      <c r="A131" s="3" t="s">
        <v>127</v>
      </c>
      <c r="B131" s="4">
        <v>-343327000</v>
      </c>
      <c r="C131" s="4">
        <v>-282850000</v>
      </c>
      <c r="D131" s="4">
        <v>-884672000</v>
      </c>
      <c r="E131" s="4">
        <v>-295402000</v>
      </c>
      <c r="F131" s="5">
        <v>-273225000</v>
      </c>
      <c r="G131" s="4">
        <v>-372169000</v>
      </c>
      <c r="H131" s="4">
        <v>-295402000</v>
      </c>
      <c r="I131" s="4">
        <v>-315933000</v>
      </c>
      <c r="J131" s="4">
        <v>-273225000</v>
      </c>
    </row>
    <row r="132" spans="1:10" ht="16" x14ac:dyDescent="0.2">
      <c r="A132" s="3" t="s">
        <v>128</v>
      </c>
      <c r="B132" s="6">
        <v>254.79</v>
      </c>
      <c r="C132" s="6">
        <v>122.33</v>
      </c>
      <c r="D132" s="6">
        <v>-110.69</v>
      </c>
      <c r="E132" s="6">
        <v>-35.82</v>
      </c>
      <c r="F132" s="7">
        <v>-32.869999999999997</v>
      </c>
      <c r="G132" s="6">
        <v>-45.68</v>
      </c>
      <c r="H132" s="6">
        <v>-35.82</v>
      </c>
      <c r="I132" s="6">
        <v>-38.74</v>
      </c>
      <c r="J132" s="6">
        <v>-32.869999999999997</v>
      </c>
    </row>
    <row r="133" spans="1:10" ht="16" x14ac:dyDescent="0.2">
      <c r="A133" s="3" t="s">
        <v>129</v>
      </c>
      <c r="B133" s="6">
        <v>-34.39</v>
      </c>
      <c r="C133" s="6">
        <v>-64.13</v>
      </c>
      <c r="D133" s="6">
        <v>72.87</v>
      </c>
      <c r="E133" s="6">
        <v>70.23</v>
      </c>
      <c r="F133" s="7">
        <v>69.63</v>
      </c>
      <c r="G133" s="6">
        <v>72.41</v>
      </c>
      <c r="H133" s="6">
        <v>70.23</v>
      </c>
      <c r="I133" s="6">
        <v>69.760000000000005</v>
      </c>
      <c r="J133" s="6">
        <v>69.63</v>
      </c>
    </row>
    <row r="134" spans="1:10" ht="16" x14ac:dyDescent="0.2">
      <c r="A134" s="3" t="s">
        <v>130</v>
      </c>
      <c r="B134" s="6">
        <v>4.9400000000000004</v>
      </c>
      <c r="C134" s="6">
        <v>2.74</v>
      </c>
      <c r="D134" s="6">
        <v>4.3499999999999996</v>
      </c>
      <c r="E134" s="6">
        <v>3.65</v>
      </c>
      <c r="F134" s="7">
        <v>3.56</v>
      </c>
      <c r="G134" s="6">
        <v>4.04</v>
      </c>
      <c r="H134" s="6">
        <v>3.65</v>
      </c>
      <c r="I134" s="6">
        <v>3.59</v>
      </c>
      <c r="J134" s="6">
        <v>3.56</v>
      </c>
    </row>
    <row r="135" spans="1:10" ht="16" x14ac:dyDescent="0.2">
      <c r="A135" s="3" t="s">
        <v>131</v>
      </c>
      <c r="B135" s="4" t="s">
        <v>15</v>
      </c>
      <c r="C135" s="6">
        <v>29.98</v>
      </c>
      <c r="D135" s="6">
        <v>35.159999999999997</v>
      </c>
      <c r="E135" s="6">
        <v>53.43</v>
      </c>
      <c r="F135" s="7">
        <v>40.58</v>
      </c>
      <c r="G135" s="6">
        <v>30.62</v>
      </c>
      <c r="H135" s="6">
        <v>53.43</v>
      </c>
      <c r="I135" s="6">
        <v>47.84</v>
      </c>
      <c r="J135" s="6">
        <v>40.58</v>
      </c>
    </row>
    <row r="136" spans="1:10" ht="16" x14ac:dyDescent="0.2">
      <c r="A136" s="3" t="s">
        <v>132</v>
      </c>
      <c r="B136" s="4" t="s">
        <v>15</v>
      </c>
      <c r="C136" s="4" t="s">
        <v>15</v>
      </c>
      <c r="D136" s="4" t="s">
        <v>15</v>
      </c>
      <c r="E136" s="4">
        <v>2170</v>
      </c>
      <c r="F136" s="5">
        <v>2170</v>
      </c>
      <c r="G136" s="4" t="s">
        <v>15</v>
      </c>
      <c r="H136" s="4">
        <v>2170</v>
      </c>
      <c r="I136" s="4">
        <v>2170</v>
      </c>
      <c r="J136" s="4">
        <v>2170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-130741000</v>
      </c>
      <c r="C139" s="4">
        <v>-192194000</v>
      </c>
      <c r="D139" s="4">
        <v>-157560000</v>
      </c>
      <c r="E139" s="4">
        <v>-180696000</v>
      </c>
      <c r="F139" s="5">
        <v>-196693000</v>
      </c>
      <c r="G139" s="4">
        <v>-50465000</v>
      </c>
      <c r="H139" s="4">
        <v>-42121000</v>
      </c>
      <c r="I139" s="4">
        <v>-52899000</v>
      </c>
      <c r="J139" s="4">
        <v>-51208000</v>
      </c>
    </row>
    <row r="140" spans="1:10" ht="16" x14ac:dyDescent="0.2">
      <c r="A140" s="3" t="s">
        <v>134</v>
      </c>
      <c r="B140" s="4" t="s">
        <v>15</v>
      </c>
      <c r="C140" s="4">
        <v>222000</v>
      </c>
      <c r="D140" s="4">
        <v>1208000</v>
      </c>
      <c r="E140" s="4">
        <v>5593000</v>
      </c>
      <c r="F140" s="5">
        <v>6462000</v>
      </c>
      <c r="G140" s="4">
        <v>1503000</v>
      </c>
      <c r="H140" s="4">
        <v>1628000</v>
      </c>
      <c r="I140" s="4">
        <v>1671000</v>
      </c>
      <c r="J140" s="4">
        <v>1660000</v>
      </c>
    </row>
    <row r="141" spans="1:10" ht="16" x14ac:dyDescent="0.2">
      <c r="A141" s="3" t="s">
        <v>135</v>
      </c>
      <c r="B141" s="4">
        <v>53211000</v>
      </c>
      <c r="C141" s="4">
        <v>106451000</v>
      </c>
      <c r="D141" s="4">
        <v>83963000</v>
      </c>
      <c r="E141" s="4">
        <v>142546000</v>
      </c>
      <c r="F141" s="5">
        <v>183617000</v>
      </c>
      <c r="G141" s="4">
        <v>41148000</v>
      </c>
      <c r="H141" s="4">
        <v>43466000</v>
      </c>
      <c r="I141" s="4">
        <v>42584000</v>
      </c>
      <c r="J141" s="4">
        <v>56419000</v>
      </c>
    </row>
    <row r="142" spans="1:10" ht="16" x14ac:dyDescent="0.2">
      <c r="A142" s="28" t="s">
        <v>136</v>
      </c>
      <c r="B142" s="26">
        <v>40872000</v>
      </c>
      <c r="C142" s="26">
        <v>111846000</v>
      </c>
      <c r="D142" s="26">
        <v>30009000</v>
      </c>
      <c r="E142" s="26">
        <v>122567000</v>
      </c>
      <c r="F142" s="27">
        <v>146047000</v>
      </c>
      <c r="G142" s="26">
        <v>33708000</v>
      </c>
      <c r="H142" s="26">
        <v>33641000</v>
      </c>
      <c r="I142" s="26">
        <v>32330000</v>
      </c>
      <c r="J142" s="26">
        <v>46368000</v>
      </c>
    </row>
    <row r="143" spans="1:10" ht="16" x14ac:dyDescent="0.2">
      <c r="A143" s="12" t="s">
        <v>189</v>
      </c>
      <c r="B143" s="20">
        <f t="shared" ref="B143:J143" si="7">B142/B2</f>
        <v>0.50318243933667373</v>
      </c>
      <c r="C143" s="20">
        <f t="shared" si="7"/>
        <v>0.73497792030280729</v>
      </c>
      <c r="D143" s="20">
        <f t="shared" si="7"/>
        <v>0.1187755538228321</v>
      </c>
      <c r="E143" s="20">
        <f t="shared" si="7"/>
        <v>0.28884421778967612</v>
      </c>
      <c r="F143" s="20">
        <f t="shared" si="7"/>
        <v>0.29072931658793622</v>
      </c>
      <c r="G143" s="20">
        <f t="shared" si="7"/>
        <v>0.29835105017657837</v>
      </c>
      <c r="H143" s="20">
        <f t="shared" si="7"/>
        <v>0.27371101727322283</v>
      </c>
      <c r="I143" s="20">
        <f t="shared" si="7"/>
        <v>0.2548117088857012</v>
      </c>
      <c r="J143" s="20">
        <f t="shared" si="7"/>
        <v>0.3321942098136566</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12339000</v>
      </c>
      <c r="C146" s="4">
        <v>-5395000</v>
      </c>
      <c r="D146" s="4">
        <v>53954000</v>
      </c>
      <c r="E146" s="4">
        <v>19979000</v>
      </c>
      <c r="F146" s="5">
        <v>37570000</v>
      </c>
      <c r="G146" s="4">
        <v>7440000</v>
      </c>
      <c r="H146" s="4">
        <v>9825000</v>
      </c>
      <c r="I146" s="4">
        <v>10254000</v>
      </c>
      <c r="J146" s="4">
        <v>10051000</v>
      </c>
    </row>
    <row r="147" spans="1:10" ht="16" x14ac:dyDescent="0.2">
      <c r="A147" s="3" t="s">
        <v>140</v>
      </c>
      <c r="B147" s="4">
        <v>17364000</v>
      </c>
      <c r="C147" s="4">
        <v>11941000</v>
      </c>
      <c r="D147" s="4">
        <v>22575000</v>
      </c>
      <c r="E147" s="4">
        <v>-44851000</v>
      </c>
      <c r="F147" s="5">
        <v>9845000</v>
      </c>
      <c r="G147" s="4">
        <v>6617000</v>
      </c>
      <c r="H147" s="4">
        <v>-14693000</v>
      </c>
      <c r="I147" s="4">
        <v>-2317000</v>
      </c>
      <c r="J147" s="4">
        <v>20238000</v>
      </c>
    </row>
    <row r="148" spans="1:10" ht="16" x14ac:dyDescent="0.2">
      <c r="A148" s="3" t="s">
        <v>141</v>
      </c>
      <c r="B148" s="4">
        <v>-13457000</v>
      </c>
      <c r="C148" s="4">
        <v>-14745000</v>
      </c>
      <c r="D148" s="4">
        <v>-38223000</v>
      </c>
      <c r="E148" s="4">
        <v>-54169000</v>
      </c>
      <c r="F148" s="5">
        <v>-15320000</v>
      </c>
      <c r="G148" s="4">
        <v>-8595000</v>
      </c>
      <c r="H148" s="4">
        <v>-32006000</v>
      </c>
      <c r="I148" s="4">
        <v>4840000</v>
      </c>
      <c r="J148" s="4">
        <v>20441000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-5743000</v>
      </c>
      <c r="C150" s="4">
        <v>677000</v>
      </c>
      <c r="D150" s="4">
        <v>-8219000</v>
      </c>
      <c r="E150" s="4">
        <v>-8909000</v>
      </c>
      <c r="F150" s="5">
        <v>-7669000</v>
      </c>
      <c r="G150" s="4">
        <v>168000</v>
      </c>
      <c r="H150" s="4">
        <v>-3589000</v>
      </c>
      <c r="I150" s="4">
        <v>-2087000</v>
      </c>
      <c r="J150" s="4">
        <v>-2161000</v>
      </c>
    </row>
    <row r="151" spans="1:10" ht="16" x14ac:dyDescent="0.2">
      <c r="A151" s="3" t="s">
        <v>144</v>
      </c>
      <c r="B151" s="4">
        <v>4309000</v>
      </c>
      <c r="C151" s="4">
        <v>2207000</v>
      </c>
      <c r="D151" s="4">
        <v>15830000</v>
      </c>
      <c r="E151" s="4">
        <v>4906000</v>
      </c>
      <c r="F151" s="5">
        <v>4448000</v>
      </c>
      <c r="G151" s="4">
        <v>4024000</v>
      </c>
      <c r="H151" s="4">
        <v>264000</v>
      </c>
      <c r="I151" s="4">
        <v>631000</v>
      </c>
      <c r="J151" s="4">
        <v>-471000</v>
      </c>
    </row>
    <row r="152" spans="1:10" ht="16" x14ac:dyDescent="0.2">
      <c r="A152" s="3" t="s">
        <v>145</v>
      </c>
      <c r="B152" s="4">
        <v>32255000</v>
      </c>
      <c r="C152" s="4">
        <v>23802000</v>
      </c>
      <c r="D152" s="4">
        <v>53187000</v>
      </c>
      <c r="E152" s="4">
        <v>13321000</v>
      </c>
      <c r="F152" s="5">
        <v>28386000</v>
      </c>
      <c r="G152" s="4">
        <v>11020000</v>
      </c>
      <c r="H152" s="4">
        <v>20638000</v>
      </c>
      <c r="I152" s="4">
        <v>-5701000</v>
      </c>
      <c r="J152" s="4">
        <v>2429000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-60166000</v>
      </c>
      <c r="C154" s="4">
        <v>-73580000</v>
      </c>
      <c r="D154" s="4">
        <v>-49814000</v>
      </c>
      <c r="E154" s="4">
        <v>-77408000</v>
      </c>
      <c r="F154" s="5">
        <v>3231000</v>
      </c>
      <c r="G154" s="4">
        <v>-1197000</v>
      </c>
      <c r="H154" s="4">
        <v>-11720000</v>
      </c>
      <c r="I154" s="4">
        <v>-10961000</v>
      </c>
      <c r="J154" s="4">
        <v>27109000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t="s">
        <v>15</v>
      </c>
      <c r="C159" s="4">
        <v>-1866000</v>
      </c>
      <c r="D159" s="4">
        <v>-3541000</v>
      </c>
      <c r="E159" s="4">
        <v>-6070000</v>
      </c>
      <c r="F159" s="5">
        <v>-3369000</v>
      </c>
      <c r="G159" s="4">
        <v>-1784000</v>
      </c>
      <c r="H159" s="4">
        <v>-1052000</v>
      </c>
      <c r="I159" s="4">
        <v>-256000</v>
      </c>
      <c r="J159" s="4">
        <v>-277000</v>
      </c>
    </row>
    <row r="160" spans="1:10" ht="16" x14ac:dyDescent="0.2">
      <c r="A160" s="3" t="s">
        <v>153</v>
      </c>
      <c r="B160" s="4" t="s">
        <v>15</v>
      </c>
      <c r="C160" s="4">
        <v>-933000</v>
      </c>
      <c r="D160" s="4">
        <v>-3541000</v>
      </c>
      <c r="E160" s="4">
        <v>-6070000</v>
      </c>
      <c r="F160" s="5">
        <v>-3369000</v>
      </c>
      <c r="G160" s="4">
        <v>-1784000</v>
      </c>
      <c r="H160" s="4">
        <v>-1052000</v>
      </c>
      <c r="I160" s="4">
        <v>-256000</v>
      </c>
      <c r="J160" s="4">
        <v>-277000</v>
      </c>
    </row>
    <row r="161" spans="1:10" ht="16" x14ac:dyDescent="0.2">
      <c r="A161" s="3" t="s">
        <v>154</v>
      </c>
      <c r="B161" s="4" t="s">
        <v>15</v>
      </c>
      <c r="C161" s="4">
        <v>-933000</v>
      </c>
      <c r="D161" s="4" t="s">
        <v>15</v>
      </c>
      <c r="E161" s="4" t="s">
        <v>15</v>
      </c>
      <c r="F161" s="5" t="s">
        <v>15</v>
      </c>
      <c r="G161" s="4" t="s">
        <v>15</v>
      </c>
      <c r="H161" s="4" t="s">
        <v>15</v>
      </c>
      <c r="I161" s="4" t="s">
        <v>15</v>
      </c>
      <c r="J161" s="4" t="s">
        <v>15</v>
      </c>
    </row>
    <row r="162" spans="1:10" ht="16" x14ac:dyDescent="0.2">
      <c r="A162" s="3" t="s">
        <v>155</v>
      </c>
      <c r="B162" s="4" t="s">
        <v>15</v>
      </c>
      <c r="C162" s="4" t="s">
        <v>15</v>
      </c>
      <c r="D162" s="4">
        <v>-50031000</v>
      </c>
      <c r="E162" s="4">
        <v>-589996000</v>
      </c>
      <c r="F162" s="5">
        <v>-181375000</v>
      </c>
      <c r="G162" s="4">
        <v>-38617000</v>
      </c>
      <c r="H162" s="4">
        <v>-80746000</v>
      </c>
      <c r="I162" s="4">
        <v>24636000</v>
      </c>
      <c r="J162" s="4">
        <v>-86648000</v>
      </c>
    </row>
    <row r="163" spans="1:10" ht="16" x14ac:dyDescent="0.2">
      <c r="A163" s="3" t="s">
        <v>156</v>
      </c>
      <c r="B163" s="4" t="s">
        <v>15</v>
      </c>
      <c r="C163" s="4" t="s">
        <v>15</v>
      </c>
      <c r="D163" s="4">
        <v>50000000</v>
      </c>
      <c r="E163" s="4">
        <v>231626000</v>
      </c>
      <c r="F163" s="5">
        <v>454579000</v>
      </c>
      <c r="G163" s="4">
        <v>72670000</v>
      </c>
      <c r="H163" s="4">
        <v>108925000</v>
      </c>
      <c r="I163" s="4">
        <v>83500000</v>
      </c>
      <c r="J163" s="4">
        <v>189484000</v>
      </c>
    </row>
    <row r="164" spans="1:10" ht="16" x14ac:dyDescent="0.2">
      <c r="A164" s="3" t="s">
        <v>157</v>
      </c>
      <c r="B164" s="4" t="s">
        <v>15</v>
      </c>
      <c r="C164" s="4" t="s">
        <v>15</v>
      </c>
      <c r="D164" s="4">
        <v>-100031000</v>
      </c>
      <c r="E164" s="4">
        <v>-821622000</v>
      </c>
      <c r="F164" s="5">
        <v>-635954000</v>
      </c>
      <c r="G164" s="4">
        <v>-111287000</v>
      </c>
      <c r="H164" s="4">
        <v>-189671000</v>
      </c>
      <c r="I164" s="4">
        <v>-58864000</v>
      </c>
      <c r="J164" s="4">
        <v>-276132000</v>
      </c>
    </row>
    <row r="165" spans="1:10" ht="16" x14ac:dyDescent="0.2">
      <c r="A165" s="3" t="s">
        <v>158</v>
      </c>
      <c r="B165" s="4" t="s">
        <v>15</v>
      </c>
      <c r="C165" s="4" t="s">
        <v>15</v>
      </c>
      <c r="D165" s="4">
        <v>-323000</v>
      </c>
      <c r="E165" s="4">
        <v>-9620000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-323000</v>
      </c>
      <c r="E167" s="4">
        <v>-9620000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1024000</v>
      </c>
      <c r="D169" s="4" t="s">
        <v>15</v>
      </c>
      <c r="E169" s="4" t="s">
        <v>15</v>
      </c>
      <c r="F169" s="5">
        <v>-2500000</v>
      </c>
      <c r="G169" s="4" t="s">
        <v>15</v>
      </c>
      <c r="H169" s="4" t="s">
        <v>15</v>
      </c>
      <c r="I169" s="4" t="s">
        <v>15</v>
      </c>
      <c r="J169" s="4">
        <v>-2500000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t="s">
        <v>15</v>
      </c>
      <c r="C171" s="4">
        <v>-842000</v>
      </c>
      <c r="D171" s="4">
        <v>-53895000</v>
      </c>
      <c r="E171" s="4">
        <v>-605686000</v>
      </c>
      <c r="F171" s="5">
        <v>-187244000</v>
      </c>
      <c r="G171" s="4">
        <v>-40401000</v>
      </c>
      <c r="H171" s="4">
        <v>-81798000</v>
      </c>
      <c r="I171" s="4">
        <v>24380000</v>
      </c>
      <c r="J171" s="4">
        <v>-89425000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v>-820000</v>
      </c>
      <c r="D176" s="4">
        <v>653962000</v>
      </c>
      <c r="E176" s="4" t="s">
        <v>15</v>
      </c>
      <c r="F176" s="5" t="s">
        <v>15</v>
      </c>
      <c r="G176" s="4" t="s">
        <v>15</v>
      </c>
      <c r="H176" s="4" t="s">
        <v>15</v>
      </c>
      <c r="I176" s="4" t="s">
        <v>15</v>
      </c>
      <c r="J176" s="4" t="s">
        <v>15</v>
      </c>
    </row>
    <row r="177" spans="1:10" ht="16" x14ac:dyDescent="0.2">
      <c r="A177" s="3" t="s">
        <v>169</v>
      </c>
      <c r="B177" s="4" t="s">
        <v>15</v>
      </c>
      <c r="C177" s="4" t="s">
        <v>15</v>
      </c>
      <c r="D177" s="4">
        <v>654552000</v>
      </c>
      <c r="E177" s="4" t="s">
        <v>15</v>
      </c>
      <c r="F177" s="5" t="s">
        <v>15</v>
      </c>
      <c r="G177" s="4" t="s">
        <v>15</v>
      </c>
      <c r="H177" s="4" t="s">
        <v>15</v>
      </c>
      <c r="I177" s="4" t="s">
        <v>15</v>
      </c>
      <c r="J177" s="4" t="s">
        <v>15</v>
      </c>
    </row>
    <row r="178" spans="1:10" ht="16" x14ac:dyDescent="0.2">
      <c r="A178" s="3" t="s">
        <v>170</v>
      </c>
      <c r="B178" s="4" t="s">
        <v>15</v>
      </c>
      <c r="C178" s="4">
        <v>-820000</v>
      </c>
      <c r="D178" s="4">
        <v>-590000</v>
      </c>
      <c r="E178" s="4" t="s">
        <v>15</v>
      </c>
      <c r="F178" s="5" t="s">
        <v>15</v>
      </c>
      <c r="G178" s="4" t="s">
        <v>15</v>
      </c>
      <c r="H178" s="4" t="s">
        <v>15</v>
      </c>
      <c r="I178" s="4" t="s">
        <v>15</v>
      </c>
      <c r="J178" s="4" t="s">
        <v>15</v>
      </c>
    </row>
    <row r="179" spans="1:10" ht="16" x14ac:dyDescent="0.2">
      <c r="A179" s="3" t="s">
        <v>171</v>
      </c>
      <c r="B179" s="4">
        <v>271265000</v>
      </c>
      <c r="C179" s="4">
        <v>13765000</v>
      </c>
      <c r="D179" s="4">
        <v>47223000</v>
      </c>
      <c r="E179" s="4">
        <v>97482000</v>
      </c>
      <c r="F179" s="5">
        <v>44472000</v>
      </c>
      <c r="G179" s="4">
        <v>7059000</v>
      </c>
      <c r="H179" s="4">
        <v>11885000</v>
      </c>
      <c r="I179" s="4">
        <v>7513000</v>
      </c>
      <c r="J179" s="4">
        <v>18015000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271265000</v>
      </c>
      <c r="C181" s="4">
        <v>12945000</v>
      </c>
      <c r="D181" s="4">
        <v>701185000</v>
      </c>
      <c r="E181" s="4">
        <v>97482000</v>
      </c>
      <c r="F181" s="5">
        <v>44472000</v>
      </c>
      <c r="G181" s="4">
        <v>7059000</v>
      </c>
      <c r="H181" s="4">
        <v>11885000</v>
      </c>
      <c r="I181" s="4">
        <v>7513000</v>
      </c>
      <c r="J181" s="4">
        <v>18015000</v>
      </c>
    </row>
    <row r="182" spans="1:10" ht="16" x14ac:dyDescent="0.2">
      <c r="A182" s="3" t="s">
        <v>173</v>
      </c>
      <c r="B182" s="4">
        <v>-226000</v>
      </c>
      <c r="C182" s="4">
        <v>1000000</v>
      </c>
      <c r="D182" s="4">
        <v>6846000</v>
      </c>
      <c r="E182" s="4">
        <v>-3658000</v>
      </c>
      <c r="F182" s="5">
        <v>-491000</v>
      </c>
      <c r="G182" s="4">
        <v>-4049000</v>
      </c>
      <c r="H182" s="4">
        <v>4866000</v>
      </c>
      <c r="I182" s="4">
        <v>-401000</v>
      </c>
      <c r="J182" s="4">
        <v>-907000</v>
      </c>
    </row>
    <row r="183" spans="1:10" ht="16" x14ac:dyDescent="0.2">
      <c r="A183" s="3" t="s">
        <v>174</v>
      </c>
      <c r="B183" s="4">
        <v>211099000</v>
      </c>
      <c r="C183" s="4">
        <v>-61477000</v>
      </c>
      <c r="D183" s="4">
        <v>597476000</v>
      </c>
      <c r="E183" s="4">
        <v>-585612000</v>
      </c>
      <c r="F183" s="5">
        <v>-139541000</v>
      </c>
      <c r="G183" s="4">
        <v>-34539000</v>
      </c>
      <c r="H183" s="4">
        <v>-81633000</v>
      </c>
      <c r="I183" s="4">
        <v>20932000</v>
      </c>
      <c r="J183" s="4">
        <v>-44301000</v>
      </c>
    </row>
    <row r="184" spans="1:10" ht="16" x14ac:dyDescent="0.2">
      <c r="A184" s="3" t="s">
        <v>45</v>
      </c>
      <c r="B184" s="4">
        <v>-128367000</v>
      </c>
      <c r="C184" s="4">
        <v>-213662000</v>
      </c>
      <c r="D184" s="4">
        <v>-127749000</v>
      </c>
      <c r="E184" s="4">
        <v>-205818000</v>
      </c>
      <c r="F184" s="5">
        <v>-209064000</v>
      </c>
      <c r="G184" s="4">
        <v>-55459000</v>
      </c>
      <c r="H184" s="4">
        <v>-44646000</v>
      </c>
      <c r="I184" s="4">
        <v>-56562000</v>
      </c>
      <c r="J184" s="4">
        <v>-52397000</v>
      </c>
    </row>
    <row r="185" spans="1:10" ht="16" x14ac:dyDescent="0.2">
      <c r="A185" s="3" t="s">
        <v>46</v>
      </c>
      <c r="B185" s="6">
        <v>-158.03</v>
      </c>
      <c r="C185" s="6">
        <v>-140.4</v>
      </c>
      <c r="D185" s="6">
        <v>-50.56</v>
      </c>
      <c r="E185" s="6">
        <v>-48.5</v>
      </c>
      <c r="F185" s="7">
        <v>-41.62</v>
      </c>
      <c r="G185" s="6">
        <v>-52.94</v>
      </c>
      <c r="H185" s="6">
        <v>-48.5</v>
      </c>
      <c r="I185" s="6">
        <v>-47.57</v>
      </c>
      <c r="J185" s="6">
        <v>-41.62</v>
      </c>
    </row>
    <row r="186" spans="1:10" ht="16" x14ac:dyDescent="0.2">
      <c r="A186" s="3" t="s">
        <v>175</v>
      </c>
      <c r="B186" s="4" t="s">
        <v>15</v>
      </c>
      <c r="C186" s="4" t="s">
        <v>15</v>
      </c>
      <c r="D186" s="4">
        <v>323000</v>
      </c>
      <c r="E186" s="4">
        <v>9620000</v>
      </c>
      <c r="F186" s="5" t="s">
        <v>15</v>
      </c>
      <c r="G186" s="4" t="s">
        <v>15</v>
      </c>
      <c r="H186" s="4" t="s">
        <v>15</v>
      </c>
      <c r="I186" s="4" t="s">
        <v>15</v>
      </c>
      <c r="J186" s="4" t="s">
        <v>15</v>
      </c>
    </row>
    <row r="187" spans="1:10" ht="16" x14ac:dyDescent="0.2">
      <c r="A187" s="3" t="s">
        <v>176</v>
      </c>
      <c r="B187" s="4">
        <v>-60166000</v>
      </c>
      <c r="C187" s="4">
        <v>-75446000</v>
      </c>
      <c r="D187" s="4">
        <v>-53355000</v>
      </c>
      <c r="E187" s="4">
        <v>-83478000</v>
      </c>
      <c r="F187" s="5">
        <v>-138000</v>
      </c>
      <c r="G187" s="4">
        <v>-2981000</v>
      </c>
      <c r="H187" s="4">
        <v>-12772000</v>
      </c>
      <c r="I187" s="4">
        <v>-11217000</v>
      </c>
      <c r="J187" s="4">
        <v>26832000</v>
      </c>
    </row>
    <row r="188" spans="1:10" ht="16" x14ac:dyDescent="0.2">
      <c r="A188" s="28" t="s">
        <v>177</v>
      </c>
      <c r="B188" s="26">
        <v>-60166000</v>
      </c>
      <c r="C188" s="26">
        <v>-75446000</v>
      </c>
      <c r="D188" s="26">
        <v>-53355000</v>
      </c>
      <c r="E188" s="26">
        <v>-83478000</v>
      </c>
      <c r="F188" s="27">
        <v>-138000</v>
      </c>
      <c r="G188" s="26">
        <v>-2981000</v>
      </c>
      <c r="H188" s="26">
        <v>-12772000</v>
      </c>
      <c r="I188" s="26">
        <v>-11217000</v>
      </c>
      <c r="J188" s="26">
        <v>26832000</v>
      </c>
    </row>
    <row r="189" spans="1:10" ht="16" x14ac:dyDescent="0.2">
      <c r="A189" s="21" t="s">
        <v>190</v>
      </c>
      <c r="B189" s="22"/>
      <c r="C189" s="23">
        <f>(C188/B188)-1</f>
        <v>0.25396403284246927</v>
      </c>
      <c r="D189" s="23">
        <f>(D188/C188)-1</f>
        <v>-0.29280545025581206</v>
      </c>
      <c r="E189" s="23">
        <f>(E188/D188)-1</f>
        <v>0.56457689063817829</v>
      </c>
      <c r="F189" s="23">
        <f t="shared" ref="F189:H189" si="8">(F188/E188)-1</f>
        <v>-0.99834686983396825</v>
      </c>
      <c r="G189" s="23"/>
      <c r="H189" s="23">
        <f t="shared" si="8"/>
        <v>3.2844682992284469</v>
      </c>
      <c r="I189" s="23">
        <f t="shared" ref="I189:J189" si="9">(I188/H188)-1</f>
        <v>-0.12175070466645788</v>
      </c>
      <c r="J189" s="23">
        <f t="shared" si="9"/>
        <v>-3.3920834447713291</v>
      </c>
    </row>
    <row r="190" spans="1:10" ht="16" x14ac:dyDescent="0.2">
      <c r="A190" s="24" t="s">
        <v>191</v>
      </c>
      <c r="B190" s="25">
        <f t="shared" ref="B190:J190" si="10">B188/B2</f>
        <v>-0.74071429450798376</v>
      </c>
      <c r="C190" s="25">
        <f t="shared" si="10"/>
        <v>-0.49578120071496162</v>
      </c>
      <c r="D190" s="25">
        <f t="shared" si="10"/>
        <v>-0.21117896878327191</v>
      </c>
      <c r="E190" s="25">
        <f t="shared" si="10"/>
        <v>-0.19672617925417593</v>
      </c>
      <c r="F190" s="25">
        <f t="shared" si="10"/>
        <v>-2.7471050887135787E-4</v>
      </c>
      <c r="G190" s="25">
        <f t="shared" si="10"/>
        <v>-2.6384967383896406E-2</v>
      </c>
      <c r="H190" s="25">
        <f t="shared" si="10"/>
        <v>-0.10391596898467947</v>
      </c>
      <c r="I190" s="25">
        <f t="shared" si="10"/>
        <v>-8.8407761786913411E-2</v>
      </c>
      <c r="J190" s="25">
        <f t="shared" si="10"/>
        <v>0.19223246716960044</v>
      </c>
    </row>
    <row r="191" spans="1:10" ht="16" x14ac:dyDescent="0.2">
      <c r="A191" s="3" t="s">
        <v>178</v>
      </c>
      <c r="B191" s="4" t="s">
        <v>15</v>
      </c>
      <c r="C191" s="4">
        <v>-74513000</v>
      </c>
      <c r="D191" s="4">
        <v>-53355000</v>
      </c>
      <c r="E191" s="4">
        <v>-83478000</v>
      </c>
      <c r="F191" s="5">
        <v>-138000</v>
      </c>
      <c r="G191" s="4">
        <v>-2981000</v>
      </c>
      <c r="H191" s="4">
        <v>-12772000</v>
      </c>
      <c r="I191" s="4">
        <v>-11217000</v>
      </c>
      <c r="J191" s="4">
        <v>26832000</v>
      </c>
    </row>
    <row r="192" spans="1:10" ht="16" x14ac:dyDescent="0.2">
      <c r="A192" s="3" t="s">
        <v>179</v>
      </c>
      <c r="B192" s="6">
        <v>-0.45</v>
      </c>
      <c r="C192" s="6">
        <v>-0.56999999999999995</v>
      </c>
      <c r="D192" s="6">
        <v>-0.67</v>
      </c>
      <c r="E192" s="6">
        <v>-0.56000000000000005</v>
      </c>
      <c r="F192" s="5">
        <v>0</v>
      </c>
      <c r="G192" s="6">
        <v>-0.02</v>
      </c>
      <c r="H192" s="6">
        <v>-0.09</v>
      </c>
      <c r="I192" s="6">
        <v>-7.0000000000000007E-2</v>
      </c>
      <c r="J192" s="6">
        <v>0.17</v>
      </c>
    </row>
    <row r="193" spans="1:10" ht="16" x14ac:dyDescent="0.2">
      <c r="A193" s="3" t="s">
        <v>180</v>
      </c>
      <c r="B193" s="4" t="s">
        <v>15</v>
      </c>
      <c r="C193" s="4" t="s">
        <v>15</v>
      </c>
      <c r="D193" s="4" t="s">
        <v>15</v>
      </c>
      <c r="E193" s="6">
        <v>-102.79</v>
      </c>
      <c r="F193" s="7">
        <v>1136.1400000000001</v>
      </c>
      <c r="G193" s="4" t="s">
        <v>15</v>
      </c>
      <c r="H193" s="6">
        <v>-100.14</v>
      </c>
      <c r="I193" s="6">
        <v>-79.53</v>
      </c>
      <c r="J193" s="4">
        <v>1557</v>
      </c>
    </row>
    <row r="194" spans="1:10" ht="16" x14ac:dyDescent="0.2">
      <c r="A194" s="3" t="s">
        <v>181</v>
      </c>
      <c r="B194" s="6">
        <v>0.46</v>
      </c>
      <c r="C194" s="6">
        <v>0.38</v>
      </c>
      <c r="D194" s="6">
        <v>0.32</v>
      </c>
      <c r="E194" s="6">
        <v>0.45</v>
      </c>
      <c r="F194" s="7">
        <v>-0.02</v>
      </c>
      <c r="G194" s="6">
        <v>0.02</v>
      </c>
      <c r="H194" s="6">
        <v>0.3</v>
      </c>
      <c r="I194" s="6">
        <v>0.21</v>
      </c>
      <c r="J194" s="6">
        <v>-0.54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37:J95 A2:J2 A9:J11 A13:J13 A97:J104 A96 E96:F96 A191:J195 A105 E105:F105 H96:J96 H105:J105 A106: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7265-225C-234A-9539-BEA9F76F2028}">
  <dimension ref="A1:P110"/>
  <sheetViews>
    <sheetView tabSelected="1" topLeftCell="A2" workbookViewId="0">
      <selection activeCell="G20" sqref="G20"/>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8117109000</v>
      </c>
      <c r="B3" s="66" t="s">
        <v>192</v>
      </c>
      <c r="C3" s="67">
        <f>Financials!F8*0.01</f>
        <v>0.88569999999999993</v>
      </c>
      <c r="D3" s="66" t="s">
        <v>193</v>
      </c>
      <c r="E3" s="67">
        <f>SUM(C11:E11)/3</f>
        <v>0.73775167231468497</v>
      </c>
      <c r="F3" s="68" t="s">
        <v>194</v>
      </c>
      <c r="G3" s="69">
        <f>AVERAGE(Financials!E129:J129)</f>
        <v>8.7684649469115996E-3</v>
      </c>
      <c r="H3" s="68" t="s">
        <v>195</v>
      </c>
      <c r="I3" s="70">
        <f>J15*(1+I7)/(I6-I7)</f>
        <v>4221541949.1738925</v>
      </c>
      <c r="J3" s="71" t="s">
        <v>196</v>
      </c>
      <c r="K3" s="72">
        <f>(Financials!F172*-1)/Model!A3</f>
        <v>0</v>
      </c>
      <c r="L3" s="73" t="s">
        <v>203</v>
      </c>
      <c r="M3" s="34"/>
      <c r="N3" s="114" t="s">
        <v>197</v>
      </c>
      <c r="O3" s="115"/>
      <c r="P3" s="34"/>
    </row>
    <row r="4" spans="1:16" ht="22" customHeight="1" x14ac:dyDescent="0.2">
      <c r="A4" s="74">
        <f>Financials!F56-Financials!F96-Financials!F105</f>
        <v>985528000</v>
      </c>
      <c r="B4" s="75" t="s">
        <v>198</v>
      </c>
      <c r="C4" s="36">
        <f>Financials!F17*0.01</f>
        <v>-0.42899999999999999</v>
      </c>
      <c r="D4" s="75" t="s">
        <v>199</v>
      </c>
      <c r="E4" s="36">
        <f>SUM(C13:E13)/3</f>
        <v>0.12930866203551761</v>
      </c>
      <c r="F4" s="76" t="s">
        <v>200</v>
      </c>
      <c r="G4" s="77">
        <f>A5*(1+(5*G3))</f>
        <v>161482407.63643613</v>
      </c>
      <c r="H4" s="76" t="s">
        <v>201</v>
      </c>
      <c r="I4" s="35">
        <f>NPV(I6,F15,G15,H15,I15,(J15+I3))</f>
        <v>2739715409.0097561</v>
      </c>
      <c r="J4" s="76" t="s">
        <v>202</v>
      </c>
      <c r="K4" s="78" cm="1">
        <f t="array" ref="K4">_FV(A1,"Change (%)",TRUE)</f>
        <v>8.5435999999999998E-2</v>
      </c>
      <c r="L4" s="79" t="s">
        <v>242</v>
      </c>
      <c r="M4" s="34"/>
      <c r="N4" s="116" t="s">
        <v>204</v>
      </c>
      <c r="O4" s="117"/>
      <c r="P4" s="34"/>
    </row>
    <row r="5" spans="1:16" ht="22" customHeight="1" x14ac:dyDescent="0.2">
      <c r="A5" s="74" cm="1">
        <f t="array" ref="A5">_FV(A1,"Shares outstanding",TRUE)</f>
        <v>154700000</v>
      </c>
      <c r="B5" s="75" t="s">
        <v>205</v>
      </c>
      <c r="C5" s="36">
        <f>F14</f>
        <v>3.5971223021582732E-2</v>
      </c>
      <c r="D5" s="80" t="s">
        <v>206</v>
      </c>
      <c r="E5" s="36">
        <f>SUM(C16:E16)/3</f>
        <v>0.17524515774161184</v>
      </c>
      <c r="F5" s="76" t="s">
        <v>207</v>
      </c>
      <c r="G5" s="77">
        <f>Financials!F56</f>
        <v>986283000</v>
      </c>
      <c r="H5" s="76" t="s">
        <v>208</v>
      </c>
      <c r="I5" s="35">
        <f>I4+G5-G6</f>
        <v>3725243409.0097561</v>
      </c>
      <c r="J5" s="76" t="s">
        <v>209</v>
      </c>
      <c r="K5" s="81" cm="1">
        <f t="array" ref="K5">_FV(A1,"Price")</f>
        <v>52.47</v>
      </c>
      <c r="L5" s="82" t="s">
        <v>210</v>
      </c>
      <c r="M5" s="34"/>
      <c r="N5" s="96" t="s">
        <v>211</v>
      </c>
      <c r="O5" s="97">
        <f>Financials!F20</f>
        <v>-27333000</v>
      </c>
      <c r="P5" s="34"/>
    </row>
    <row r="6" spans="1:16" ht="22" customHeight="1" x14ac:dyDescent="0.2">
      <c r="A6" s="83">
        <f>O20/F10</f>
        <v>14.599116906474821</v>
      </c>
      <c r="B6" s="75" t="s">
        <v>212</v>
      </c>
      <c r="C6" s="36">
        <f>F17</f>
        <v>7.1942446043165464E-2</v>
      </c>
      <c r="D6" s="80" t="s">
        <v>191</v>
      </c>
      <c r="E6" s="36">
        <f>Financials!F33/Financials!F126</f>
        <v>-0.22825778355228332</v>
      </c>
      <c r="F6" s="75" t="s">
        <v>213</v>
      </c>
      <c r="G6" s="77">
        <f>Financials!F96+Financials!F105</f>
        <v>755000</v>
      </c>
      <c r="H6" s="76" t="s">
        <v>214</v>
      </c>
      <c r="I6" s="78">
        <f>N25</f>
        <v>0.13766025677965119</v>
      </c>
      <c r="J6" s="76" t="s">
        <v>215</v>
      </c>
      <c r="K6" s="84">
        <f>I5/G4</f>
        <v>23.069035590532089</v>
      </c>
      <c r="L6" s="85" t="s">
        <v>216</v>
      </c>
      <c r="M6" s="34"/>
      <c r="N6" s="96" t="s">
        <v>217</v>
      </c>
      <c r="O6" s="97">
        <f>Financials!F96</f>
        <v>617000</v>
      </c>
      <c r="P6" s="34"/>
    </row>
    <row r="7" spans="1:16" ht="22" customHeight="1" thickBot="1" x14ac:dyDescent="0.25">
      <c r="A7" s="86">
        <f>O20/F12</f>
        <v>405.85545000000002</v>
      </c>
      <c r="B7" s="87" t="s">
        <v>218</v>
      </c>
      <c r="C7" s="88">
        <f>F15/A3</f>
        <v>4.9278628634899443E-3</v>
      </c>
      <c r="D7" s="87" t="s">
        <v>219</v>
      </c>
      <c r="E7" s="89">
        <f>(Financials!F16*(1-0.25))/(Financials!F126+Financials!F105+Financials!F96)</f>
        <v>-0.19428542238835569</v>
      </c>
      <c r="F7" s="87" t="s">
        <v>187</v>
      </c>
      <c r="G7" s="90">
        <f>(Financials!F96+Financials!F105)/Financials!F126</f>
        <v>9.0828160338770995E-4</v>
      </c>
      <c r="H7" s="91" t="s">
        <v>220</v>
      </c>
      <c r="I7" s="92">
        <v>2.5000000000000001E-2</v>
      </c>
      <c r="J7" s="93" t="s">
        <v>221</v>
      </c>
      <c r="K7" s="94">
        <f>K6/K5-1</f>
        <v>-0.56033856316881858</v>
      </c>
      <c r="L7" s="95" t="s">
        <v>222</v>
      </c>
      <c r="M7" s="34"/>
      <c r="N7" s="96" t="s">
        <v>223</v>
      </c>
      <c r="O7" s="97">
        <f>Financials!F105</f>
        <v>138000</v>
      </c>
      <c r="P7" s="34"/>
    </row>
    <row r="8" spans="1:16" ht="22" customHeight="1" x14ac:dyDescent="0.2">
      <c r="A8" s="37"/>
      <c r="B8" s="34"/>
      <c r="C8" s="34"/>
      <c r="D8" s="34"/>
      <c r="E8" s="34"/>
      <c r="F8" s="34"/>
      <c r="G8" s="34"/>
      <c r="H8" s="34"/>
      <c r="I8" s="34"/>
      <c r="J8" s="34"/>
      <c r="K8" s="34"/>
      <c r="L8" s="34"/>
      <c r="M8" s="34"/>
      <c r="N8" s="98" t="s">
        <v>204</v>
      </c>
      <c r="O8" s="99">
        <f>O5/(O6+O7)</f>
        <v>-36.202649006622515</v>
      </c>
      <c r="P8" s="34"/>
    </row>
    <row r="9" spans="1:16" ht="22" customHeight="1" x14ac:dyDescent="0.2">
      <c r="A9" s="45"/>
      <c r="B9" s="46">
        <v>2020</v>
      </c>
      <c r="C9" s="46">
        <v>2021</v>
      </c>
      <c r="D9" s="46">
        <v>2022</v>
      </c>
      <c r="E9" s="47">
        <v>2023</v>
      </c>
      <c r="F9" s="48">
        <v>2024</v>
      </c>
      <c r="G9" s="49">
        <v>2025</v>
      </c>
      <c r="H9" s="49">
        <v>2026</v>
      </c>
      <c r="I9" s="49">
        <v>2027</v>
      </c>
      <c r="J9" s="50">
        <v>2028</v>
      </c>
      <c r="K9" s="38"/>
      <c r="L9" s="38"/>
      <c r="M9" s="38"/>
      <c r="N9" s="96" t="s">
        <v>224</v>
      </c>
      <c r="O9" s="97">
        <f>Financials!F25</f>
        <v>5946000</v>
      </c>
      <c r="P9" s="34"/>
    </row>
    <row r="10" spans="1:16" ht="22" customHeight="1" x14ac:dyDescent="0.2">
      <c r="A10" s="51" t="s">
        <v>225</v>
      </c>
      <c r="B10" s="52">
        <v>81227000</v>
      </c>
      <c r="C10" s="52">
        <v>152176000</v>
      </c>
      <c r="D10" s="52">
        <v>252653000</v>
      </c>
      <c r="E10" s="53">
        <v>424336000</v>
      </c>
      <c r="F10" s="52">
        <v>556000000</v>
      </c>
      <c r="G10" s="52">
        <v>707000000</v>
      </c>
      <c r="H10" s="52">
        <v>909000000</v>
      </c>
      <c r="I10" s="52">
        <v>1103000000</v>
      </c>
      <c r="J10" s="53">
        <v>1660000000</v>
      </c>
      <c r="K10" s="54" t="s">
        <v>226</v>
      </c>
      <c r="L10" s="38"/>
      <c r="N10" s="96" t="s">
        <v>227</v>
      </c>
      <c r="O10" s="97">
        <f>Financials!F24</f>
        <v>-190747000</v>
      </c>
      <c r="P10" s="34"/>
    </row>
    <row r="11" spans="1:16" ht="22" customHeight="1" x14ac:dyDescent="0.2">
      <c r="A11" s="55"/>
      <c r="B11" s="39"/>
      <c r="C11" s="39">
        <f t="shared" ref="C11:J11" si="0">(C10/B10)-1</f>
        <v>0.87346571952675833</v>
      </c>
      <c r="D11" s="39">
        <f t="shared" si="0"/>
        <v>0.66026837346230671</v>
      </c>
      <c r="E11" s="39">
        <f t="shared" si="0"/>
        <v>0.67952092395498975</v>
      </c>
      <c r="F11" s="40">
        <f t="shared" si="0"/>
        <v>0.31028241770672293</v>
      </c>
      <c r="G11" s="39">
        <f t="shared" si="0"/>
        <v>0.27158273381294973</v>
      </c>
      <c r="H11" s="39">
        <f t="shared" si="0"/>
        <v>0.28571428571428581</v>
      </c>
      <c r="I11" s="39">
        <f t="shared" si="0"/>
        <v>0.21342134213421349</v>
      </c>
      <c r="J11" s="56">
        <f t="shared" si="0"/>
        <v>0.50498640072529466</v>
      </c>
      <c r="K11" s="56">
        <f>SUM(F11:J11)/5</f>
        <v>0.31719743601869332</v>
      </c>
      <c r="L11" s="38"/>
      <c r="M11" s="38"/>
      <c r="N11" s="96" t="s">
        <v>228</v>
      </c>
      <c r="O11" s="100">
        <f>O9/O10</f>
        <v>-3.1172180951731875E-2</v>
      </c>
      <c r="P11" s="34"/>
    </row>
    <row r="12" spans="1:16" ht="22" customHeight="1" x14ac:dyDescent="0.2">
      <c r="A12" s="51" t="s">
        <v>133</v>
      </c>
      <c r="B12" s="52">
        <v>-130741000</v>
      </c>
      <c r="C12" s="52">
        <v>-192194000</v>
      </c>
      <c r="D12" s="52">
        <v>-155138000</v>
      </c>
      <c r="E12" s="52">
        <v>-172311000</v>
      </c>
      <c r="F12" s="57">
        <v>20000000</v>
      </c>
      <c r="G12" s="52">
        <v>40000000</v>
      </c>
      <c r="H12" s="52">
        <v>75000000</v>
      </c>
      <c r="I12" s="52">
        <v>132000000</v>
      </c>
      <c r="J12" s="53">
        <v>343000000</v>
      </c>
      <c r="K12" s="58" t="s">
        <v>229</v>
      </c>
      <c r="L12" s="38"/>
      <c r="M12" s="38"/>
      <c r="N12" s="96" t="s">
        <v>230</v>
      </c>
      <c r="O12" s="100">
        <f>O8*(1-O11)</f>
        <v>-37.331164532388982</v>
      </c>
      <c r="P12" s="34"/>
    </row>
    <row r="13" spans="1:16" ht="22" customHeight="1" x14ac:dyDescent="0.2">
      <c r="A13" s="55"/>
      <c r="B13" s="39"/>
      <c r="C13" s="39">
        <f t="shared" ref="C13:J13" si="1">(C12/B12)-1</f>
        <v>0.47003617839851319</v>
      </c>
      <c r="D13" s="39">
        <f t="shared" si="1"/>
        <v>-0.19280518642621514</v>
      </c>
      <c r="E13" s="39">
        <f t="shared" si="1"/>
        <v>0.11069499413425476</v>
      </c>
      <c r="F13" s="40">
        <f t="shared" si="1"/>
        <v>-1.1160692004573127</v>
      </c>
      <c r="G13" s="39">
        <f t="shared" si="1"/>
        <v>1</v>
      </c>
      <c r="H13" s="39">
        <f t="shared" si="1"/>
        <v>0.875</v>
      </c>
      <c r="I13" s="39">
        <f t="shared" si="1"/>
        <v>0.76</v>
      </c>
      <c r="J13" s="56">
        <f t="shared" si="1"/>
        <v>1.5984848484848486</v>
      </c>
      <c r="K13" s="56">
        <f>SUM(F13:J13)/5</f>
        <v>0.62348312960550722</v>
      </c>
      <c r="L13" s="38"/>
      <c r="M13" s="38"/>
      <c r="N13" s="116" t="s">
        <v>231</v>
      </c>
      <c r="O13" s="117"/>
      <c r="P13" s="34"/>
    </row>
    <row r="14" spans="1:16" ht="22" customHeight="1" x14ac:dyDescent="0.2">
      <c r="A14" s="41" t="s">
        <v>243</v>
      </c>
      <c r="B14" s="42">
        <f>B12/B10</f>
        <v>-1.6095756337178524</v>
      </c>
      <c r="C14" s="42">
        <f t="shared" ref="C14:J14" si="2">C12/C10</f>
        <v>-1.2629718221007256</v>
      </c>
      <c r="D14" s="42">
        <f t="shared" si="2"/>
        <v>-0.61403585154342122</v>
      </c>
      <c r="E14" s="42">
        <f t="shared" si="2"/>
        <v>-0.40607207495946607</v>
      </c>
      <c r="F14" s="43">
        <f t="shared" si="2"/>
        <v>3.5971223021582732E-2</v>
      </c>
      <c r="G14" s="42">
        <f t="shared" si="2"/>
        <v>5.6577086280056574E-2</v>
      </c>
      <c r="H14" s="42">
        <f t="shared" si="2"/>
        <v>8.2508250825082508E-2</v>
      </c>
      <c r="I14" s="42">
        <f t="shared" si="2"/>
        <v>0.11967361740707162</v>
      </c>
      <c r="J14" s="44">
        <f t="shared" si="2"/>
        <v>0.20662650602409638</v>
      </c>
      <c r="K14" s="44"/>
      <c r="L14" s="38"/>
      <c r="M14" s="38"/>
      <c r="N14" s="96" t="s">
        <v>233</v>
      </c>
      <c r="O14" s="100">
        <f>'[1]US Treasury Bonds'!$C$8</f>
        <v>4.2709999999999998E-2</v>
      </c>
      <c r="P14" s="34"/>
    </row>
    <row r="15" spans="1:16" ht="22" customHeight="1" x14ac:dyDescent="0.2">
      <c r="A15" s="51" t="s">
        <v>176</v>
      </c>
      <c r="B15" s="52">
        <v>-60166000</v>
      </c>
      <c r="C15" s="52">
        <v>-75446000</v>
      </c>
      <c r="D15" s="52">
        <v>-53355000</v>
      </c>
      <c r="E15" s="52">
        <v>-83478000</v>
      </c>
      <c r="F15" s="57">
        <v>40000000</v>
      </c>
      <c r="G15" s="52">
        <v>67000000</v>
      </c>
      <c r="H15" s="52">
        <v>125000000</v>
      </c>
      <c r="I15" s="52">
        <v>183000000</v>
      </c>
      <c r="J15" s="53">
        <v>464000000</v>
      </c>
      <c r="K15" s="58" t="s">
        <v>232</v>
      </c>
      <c r="L15" s="38"/>
      <c r="M15" s="38"/>
      <c r="N15" s="96" t="s">
        <v>234</v>
      </c>
      <c r="O15" s="101" cm="1">
        <f t="array" ref="O15">_FV(A1,"Beta")</f>
        <v>2.3839999999999999</v>
      </c>
      <c r="P15" s="34"/>
    </row>
    <row r="16" spans="1:16" ht="22" customHeight="1" x14ac:dyDescent="0.2">
      <c r="A16" s="59"/>
      <c r="B16" s="39"/>
      <c r="C16" s="39">
        <f t="shared" ref="C16:J16" si="3">(C15/B15)-1</f>
        <v>0.25396403284246927</v>
      </c>
      <c r="D16" s="39">
        <f t="shared" si="3"/>
        <v>-0.29280545025581206</v>
      </c>
      <c r="E16" s="39">
        <f t="shared" si="3"/>
        <v>0.56457689063817829</v>
      </c>
      <c r="F16" s="40">
        <f t="shared" si="3"/>
        <v>-1.4791681640671794</v>
      </c>
      <c r="G16" s="39">
        <f t="shared" si="3"/>
        <v>0.67500000000000004</v>
      </c>
      <c r="H16" s="39">
        <f t="shared" si="3"/>
        <v>0.86567164179104483</v>
      </c>
      <c r="I16" s="39">
        <f t="shared" si="3"/>
        <v>0.46399999999999997</v>
      </c>
      <c r="J16" s="56">
        <f t="shared" si="3"/>
        <v>1.5355191256830603</v>
      </c>
      <c r="K16" s="56">
        <f>SUM(F16:J16)/5</f>
        <v>0.41220452068138513</v>
      </c>
      <c r="L16" s="38"/>
      <c r="M16" s="38"/>
      <c r="N16" s="96" t="s">
        <v>235</v>
      </c>
      <c r="O16" s="100">
        <v>8.4000000000000005E-2</v>
      </c>
      <c r="P16" s="34"/>
    </row>
    <row r="17" spans="1:16" ht="22" customHeight="1" x14ac:dyDescent="0.2">
      <c r="A17" s="41" t="s">
        <v>191</v>
      </c>
      <c r="B17" s="42">
        <f>B15/B10</f>
        <v>-0.74071429450798376</v>
      </c>
      <c r="C17" s="42">
        <f t="shared" ref="C17:J17" si="4">C15/C10</f>
        <v>-0.49578120071496162</v>
      </c>
      <c r="D17" s="42">
        <f t="shared" si="4"/>
        <v>-0.21117896878327191</v>
      </c>
      <c r="E17" s="44">
        <f t="shared" si="4"/>
        <v>-0.19672617925417593</v>
      </c>
      <c r="F17" s="42">
        <f t="shared" si="4"/>
        <v>7.1942446043165464E-2</v>
      </c>
      <c r="G17" s="42">
        <f t="shared" si="4"/>
        <v>9.4766619519094764E-2</v>
      </c>
      <c r="H17" s="42">
        <f t="shared" si="4"/>
        <v>0.13751375137513752</v>
      </c>
      <c r="I17" s="42">
        <f t="shared" si="4"/>
        <v>0.16591115140525839</v>
      </c>
      <c r="J17" s="44">
        <f t="shared" si="4"/>
        <v>0.27951807228915665</v>
      </c>
      <c r="K17" s="44"/>
      <c r="L17" s="38"/>
      <c r="M17" s="38"/>
      <c r="N17" s="102" t="s">
        <v>231</v>
      </c>
      <c r="O17" s="103">
        <f>(O14)+((O15)*(O16-O14))</f>
        <v>0.14114536</v>
      </c>
      <c r="P17" s="34"/>
    </row>
    <row r="18" spans="1:16" ht="22" customHeight="1" x14ac:dyDescent="0.2">
      <c r="A18" s="60" t="s">
        <v>187</v>
      </c>
      <c r="B18" s="61">
        <v>0.71448900532108317</v>
      </c>
      <c r="C18" s="61">
        <v>0.6937618392713496</v>
      </c>
      <c r="D18" s="61">
        <v>-0.12100775833918243</v>
      </c>
      <c r="E18" s="61">
        <v>-0.19199307625803108</v>
      </c>
      <c r="F18" s="62"/>
      <c r="G18" s="61"/>
      <c r="H18" s="61"/>
      <c r="I18" s="61"/>
      <c r="J18" s="63"/>
      <c r="K18" s="64"/>
      <c r="L18" s="38"/>
      <c r="M18" s="38"/>
      <c r="N18" s="116" t="s">
        <v>236</v>
      </c>
      <c r="O18" s="117"/>
      <c r="P18" s="34"/>
    </row>
    <row r="19" spans="1:16" ht="22" customHeight="1" x14ac:dyDescent="0.2">
      <c r="A19" s="38"/>
      <c r="B19" s="38"/>
      <c r="C19" s="38"/>
      <c r="D19" s="38"/>
      <c r="E19" s="38"/>
      <c r="F19" s="38" t="s">
        <v>237</v>
      </c>
      <c r="G19" s="38"/>
      <c r="H19" s="38"/>
      <c r="I19" s="38"/>
      <c r="J19" s="38"/>
      <c r="K19" s="38"/>
      <c r="L19" s="38"/>
      <c r="M19" s="38"/>
      <c r="N19" s="96" t="s">
        <v>214</v>
      </c>
      <c r="O19" s="104">
        <f>O6+O7</f>
        <v>755000</v>
      </c>
      <c r="P19" s="34"/>
    </row>
    <row r="20" spans="1:16" ht="22" customHeight="1" x14ac:dyDescent="0.2">
      <c r="A20" s="38"/>
      <c r="B20" s="38"/>
      <c r="C20" s="38"/>
      <c r="D20" s="38"/>
      <c r="E20" s="38"/>
      <c r="F20" s="38"/>
      <c r="G20" s="38"/>
      <c r="H20" s="38"/>
      <c r="I20" s="38"/>
      <c r="J20" s="38"/>
      <c r="K20" s="38"/>
      <c r="L20" s="38"/>
      <c r="M20" s="38"/>
      <c r="N20" s="96" t="s">
        <v>192</v>
      </c>
      <c r="O20" s="104">
        <f>A3</f>
        <v>8117109000</v>
      </c>
      <c r="P20" s="34"/>
    </row>
    <row r="21" spans="1:16" ht="22" customHeight="1" x14ac:dyDescent="0.2">
      <c r="A21" s="118" t="str" cm="1">
        <f t="array" ref="A21">_FV(A1,"Industry")</f>
        <v>Software &amp; IT Services</v>
      </c>
      <c r="B21" s="118"/>
      <c r="C21" s="107"/>
      <c r="D21" s="120" cm="1">
        <f t="array" ref="D21">_FV(A1,"Year incorporated",TRUE)</f>
        <v>2014</v>
      </c>
      <c r="E21" s="120"/>
      <c r="F21" s="38"/>
      <c r="G21" s="38"/>
      <c r="H21" s="38"/>
      <c r="I21" s="38"/>
      <c r="J21" s="38"/>
      <c r="K21" s="38"/>
      <c r="M21" s="38"/>
      <c r="N21" s="96" t="s">
        <v>238</v>
      </c>
      <c r="O21" s="104">
        <f>O19+O20</f>
        <v>8117864000</v>
      </c>
      <c r="P21" s="34"/>
    </row>
    <row r="22" spans="1:16" ht="22" customHeight="1" x14ac:dyDescent="0.2">
      <c r="A22" s="119" t="str" cm="1">
        <f t="array" ref="A22">_FV(A1,"Description")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B22" s="119"/>
      <c r="C22" s="119"/>
      <c r="D22" s="119"/>
      <c r="E22" s="119"/>
      <c r="F22" s="38"/>
      <c r="G22" s="38"/>
      <c r="H22" s="38"/>
      <c r="I22" s="38"/>
      <c r="J22" s="38"/>
      <c r="K22" s="38"/>
      <c r="L22" s="38"/>
      <c r="M22" s="38"/>
      <c r="N22" s="98" t="s">
        <v>239</v>
      </c>
      <c r="O22" s="105">
        <f>(O19/O21)</f>
        <v>9.3004760858275031E-5</v>
      </c>
      <c r="P22" s="34"/>
    </row>
    <row r="23" spans="1:16" ht="22" customHeight="1" x14ac:dyDescent="0.2">
      <c r="A23" s="119"/>
      <c r="B23" s="119"/>
      <c r="C23" s="119"/>
      <c r="D23" s="119"/>
      <c r="E23" s="119"/>
      <c r="F23" s="38"/>
      <c r="G23" s="38"/>
      <c r="H23" s="38"/>
      <c r="I23" s="38"/>
      <c r="J23" s="38"/>
      <c r="K23" s="38"/>
      <c r="L23" s="38"/>
      <c r="M23" s="38"/>
      <c r="N23" s="102" t="s">
        <v>240</v>
      </c>
      <c r="O23" s="106">
        <f>O20/O21</f>
        <v>0.99990699523914173</v>
      </c>
      <c r="P23" s="34"/>
    </row>
    <row r="24" spans="1:16" ht="22" customHeight="1" x14ac:dyDescent="0.2">
      <c r="A24" s="119"/>
      <c r="B24" s="119"/>
      <c r="C24" s="119"/>
      <c r="D24" s="119"/>
      <c r="E24" s="119"/>
      <c r="F24" s="38"/>
      <c r="G24" s="38"/>
      <c r="H24" s="38"/>
      <c r="I24" s="38"/>
      <c r="J24" s="38"/>
      <c r="K24" s="38"/>
      <c r="L24" s="38"/>
      <c r="M24" s="38"/>
      <c r="N24" s="108" t="s">
        <v>241</v>
      </c>
      <c r="O24" s="109"/>
      <c r="P24" s="34"/>
    </row>
    <row r="25" spans="1:16" ht="22" customHeight="1" x14ac:dyDescent="0.2">
      <c r="A25" s="119"/>
      <c r="B25" s="119"/>
      <c r="C25" s="119"/>
      <c r="D25" s="119"/>
      <c r="E25" s="119"/>
      <c r="F25" s="38"/>
      <c r="G25" s="38"/>
      <c r="H25" s="38"/>
      <c r="I25" s="38"/>
      <c r="J25" s="38"/>
      <c r="K25" s="38"/>
      <c r="L25" s="38"/>
      <c r="M25" s="38"/>
      <c r="N25" s="110">
        <f>(O22*O12)+(O23*O17)</f>
        <v>0.13766025677965119</v>
      </c>
      <c r="O25" s="111"/>
      <c r="P25" s="34"/>
    </row>
    <row r="26" spans="1:16" ht="22" customHeight="1" x14ac:dyDescent="0.2">
      <c r="A26" s="119"/>
      <c r="B26" s="119"/>
      <c r="C26" s="119"/>
      <c r="D26" s="119"/>
      <c r="E26" s="119"/>
      <c r="F26" s="38"/>
      <c r="G26" s="38"/>
      <c r="H26" s="38"/>
      <c r="I26" s="38"/>
      <c r="J26" s="38"/>
      <c r="K26" s="38"/>
      <c r="L26" s="38"/>
      <c r="M26" s="38"/>
      <c r="N26" s="38"/>
      <c r="O26" s="34"/>
      <c r="P26" s="34"/>
    </row>
    <row r="27" spans="1:16" ht="22" customHeight="1" x14ac:dyDescent="0.2">
      <c r="A27" s="119"/>
      <c r="B27" s="119"/>
      <c r="C27" s="119"/>
      <c r="D27" s="119"/>
      <c r="E27" s="119"/>
      <c r="F27" s="38"/>
      <c r="G27" s="38"/>
      <c r="H27" s="38"/>
      <c r="I27" s="38"/>
      <c r="J27" s="38"/>
      <c r="K27" s="38"/>
      <c r="L27" s="38"/>
      <c r="M27" s="38"/>
      <c r="N27" s="38"/>
      <c r="O27" s="34"/>
      <c r="P27" s="34"/>
    </row>
    <row r="28" spans="1:16" ht="22" customHeight="1" x14ac:dyDescent="0.2">
      <c r="A28" s="119"/>
      <c r="B28" s="119"/>
      <c r="C28" s="119"/>
      <c r="D28" s="119"/>
      <c r="E28" s="119"/>
      <c r="F28" s="38"/>
      <c r="G28" s="38"/>
      <c r="H28" s="38"/>
      <c r="I28" s="38"/>
      <c r="J28" s="38"/>
      <c r="K28" s="38"/>
      <c r="L28" s="38"/>
      <c r="M28" s="38"/>
      <c r="N28" s="38"/>
      <c r="O28" s="34"/>
      <c r="P28" s="34"/>
    </row>
    <row r="29" spans="1:16" ht="22" customHeight="1" x14ac:dyDescent="0.2">
      <c r="A29" s="119"/>
      <c r="B29" s="119"/>
      <c r="C29" s="119"/>
      <c r="D29" s="119"/>
      <c r="E29" s="119"/>
      <c r="F29" s="38"/>
      <c r="G29" s="38"/>
      <c r="H29" s="38"/>
      <c r="I29" s="38"/>
      <c r="J29" s="38" t="s">
        <v>237</v>
      </c>
      <c r="K29" s="38"/>
      <c r="L29" s="38"/>
      <c r="M29" s="38"/>
      <c r="N29" s="38"/>
      <c r="O29" s="34"/>
      <c r="P29" s="34"/>
    </row>
    <row r="30" spans="1:16" ht="22" customHeight="1" x14ac:dyDescent="0.2">
      <c r="A30" s="119"/>
      <c r="B30" s="119"/>
      <c r="C30" s="119"/>
      <c r="D30" s="119"/>
      <c r="E30" s="119"/>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A22:E30"/>
    <mergeCell ref="D21:E21"/>
  </mergeCells>
  <hyperlinks>
    <hyperlink ref="F9" r:id="rId1" display="https://finbox.com/NASDAQGS:GTLB/explorer/revenue_proj" xr:uid="{0D687A57-DDD5-744E-90D3-5A36D8628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2023-12-03T14:24:54Z</dcterms:modified>
</cp:coreProperties>
</file>