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BE8E661-71B4-1947-B293-A6EB0F394F1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G6" i="2"/>
  <c r="E6" i="2"/>
  <c r="O5" i="2"/>
  <c r="O8" i="2" s="1"/>
  <c r="O12" i="2" s="1"/>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a="1"/>
  <c r="O15" i="2" s="1"/>
  <c r="J14" i="2"/>
  <c r="I14" i="2"/>
  <c r="H14" i="2"/>
  <c r="G14" i="2"/>
  <c r="F14" i="2"/>
  <c r="C5" i="2" s="1"/>
  <c r="E14" i="2"/>
  <c r="D14" i="2"/>
  <c r="C14" i="2"/>
  <c r="B14" i="2"/>
  <c r="J13" i="2"/>
  <c r="I13" i="2"/>
  <c r="H13" i="2"/>
  <c r="G13" i="2"/>
  <c r="F13" i="2"/>
  <c r="E13" i="2"/>
  <c r="E4" i="2" s="1"/>
  <c r="D13" i="2"/>
  <c r="C13" i="2"/>
  <c r="J11" i="2"/>
  <c r="I11" i="2"/>
  <c r="H11" i="2"/>
  <c r="G11" i="2"/>
  <c r="F11" i="2"/>
  <c r="E11" i="2"/>
  <c r="D11" i="2"/>
  <c r="C11" i="2"/>
  <c r="E3" i="2" s="1"/>
  <c r="O19" i="2"/>
  <c r="K5" i="2" a="1"/>
  <c r="K5" i="2" s="1"/>
  <c r="A5" i="2" a="1"/>
  <c r="A5" i="2" s="1"/>
  <c r="K4" i="2" a="1"/>
  <c r="K4"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3" i="2" l="1"/>
  <c r="K11" i="2"/>
  <c r="K16" i="2"/>
  <c r="E5" i="2"/>
  <c r="G4" i="2"/>
  <c r="O20" i="2"/>
  <c r="C7" i="2"/>
  <c r="A7" i="2" l="1"/>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<sst xmlns="http://schemas.openxmlformats.org/spreadsheetml/2006/main" count="871" uniqueCount="244">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</sst>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17">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0" fontId="3" fillId="0" borderId="1" xfId="0" applyFont="1" applyBorder="1"/>
    <xf numFmtId="3" fontId="4" fillId="0" borderId="1" xfId="0" applyNumberFormat="1" applyFont="1" applyBorder="1"/>
    <xf numFmtId="3" fontId="5" fillId="4" borderId="1" xfId="0" applyNumberFormat="1" applyFont="1" applyFill="1" applyBorder="1"/>
    <xf numFmtId="4" fontId="6" fillId="0" borderId="1" xfId="0" applyNumberFormat="1" applyFont="1" applyBorder="1"/>
    <xf numFmtId="4" fontId="7" fillId="5" borderId="1" xfId="0" applyNumberFormat="1" applyFont="1" applyFill="1" applyBorder="1"/>
    <xf numFmtId="0" fontId="2" fillId="0" borderId="1" xfId="0" applyFont="1" applyBorder="1"/>
    <xf numFmtId="164" fontId="3" fillId="9" borderId="4" xfId="0" applyNumberFormat="1" applyFont="1" applyFill="1" applyBorder="1" applyAlignment="1">
      <alignment horizontal="right" vertical="center" indent="1"/>
    </xf>
    <xf numFmtId="9" fontId="11" fillId="10" borderId="5" xfId="1" applyFont="1" applyFill="1" applyBorder="1" applyAlignment="1">
      <alignment horizontal="left" vertical="center" indent="1"/>
    </xf>
    <xf numFmtId="9" fontId="3" fillId="9" borderId="6" xfId="1" applyFont="1" applyFill="1" applyBorder="1" applyAlignment="1">
      <alignment horizontal="right" vertical="center" indent="1"/>
    </xf>
    <xf numFmtId="0" fontId="11" fillId="10" borderId="5"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6"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0" fontId="9" fillId="11" borderId="0" xfId="0" applyFont="1" applyFill="1"/>
    <xf numFmtId="164" fontId="3" fillId="9" borderId="11" xfId="0" applyNumberFormat="1" applyFont="1" applyFill="1" applyBorder="1" applyAlignment="1">
      <alignment horizontal="right" vertical="center" indent="1"/>
    </xf>
    <xf numFmtId="9" fontId="11" fillId="10" borderId="12"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9" fontId="13" fillId="10" borderId="12"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3" xfId="1" applyFont="1" applyFill="1" applyBorder="1" applyAlignment="1">
      <alignment horizontal="left" vertical="center" indent="1"/>
    </xf>
    <xf numFmtId="0" fontId="14" fillId="12" borderId="14" xfId="0" applyFont="1" applyFill="1" applyBorder="1" applyAlignment="1">
      <alignment horizontal="left" vertical="center" wrapText="1"/>
    </xf>
    <xf numFmtId="164" fontId="15" fillId="12" borderId="12" xfId="0" applyNumberFormat="1" applyFont="1" applyFill="1" applyBorder="1" applyAlignment="1">
      <alignment vertical="center"/>
    </xf>
    <xf numFmtId="167" fontId="3" fillId="9" borderId="1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6" fillId="10" borderId="13" xfId="1" applyFont="1" applyFill="1" applyBorder="1" applyAlignment="1">
      <alignment horizontal="left" vertical="center" indent="1"/>
    </xf>
    <xf numFmtId="167"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9" fontId="3" fillId="9" borderId="17" xfId="1" applyFont="1" applyFill="1" applyBorder="1" applyAlignment="1">
      <alignment horizontal="right" vertical="center" indent="1"/>
    </xf>
    <xf numFmtId="2" fontId="3" fillId="9" borderId="16" xfId="0"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165" fontId="3" fillId="14" borderId="17" xfId="1"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9" fontId="2" fillId="13" borderId="17" xfId="1" applyFont="1" applyFill="1" applyBorder="1" applyAlignment="1">
      <alignment horizontal="right" vertical="center" indent="1"/>
    </xf>
    <xf numFmtId="9" fontId="16" fillId="10" borderId="18" xfId="1" applyFont="1" applyFill="1" applyBorder="1" applyAlignment="1">
      <alignment horizontal="left" vertical="center" indent="1"/>
    </xf>
    <xf numFmtId="9" fontId="3" fillId="11" borderId="14" xfId="1" applyFont="1" applyFill="1" applyBorder="1" applyAlignment="1">
      <alignment horizontal="left" indent="1"/>
    </xf>
    <xf numFmtId="0" fontId="9" fillId="11" borderId="0" xfId="0" applyFont="1" applyFill="1" applyAlignment="1">
      <alignment vertical="center"/>
    </xf>
    <xf numFmtId="0" fontId="18" fillId="12" borderId="14" xfId="0" applyFont="1" applyFill="1" applyBorder="1" applyAlignment="1">
      <alignment horizontal="left" vertical="center" wrapText="1"/>
    </xf>
    <xf numFmtId="10" fontId="19" fillId="12" borderId="12" xfId="0" applyNumberFormat="1" applyFont="1" applyFill="1" applyBorder="1" applyAlignment="1">
      <alignment vertical="center"/>
    </xf>
    <xf numFmtId="0" fontId="2" fillId="9" borderId="19" xfId="0" applyFont="1" applyFill="1" applyBorder="1" applyAlignment="1">
      <alignment horizontal="right" vertical="center"/>
    </xf>
    <xf numFmtId="0" fontId="12" fillId="9" borderId="20" xfId="0" applyFont="1" applyFill="1" applyBorder="1" applyAlignment="1">
      <alignment horizontal="right" vertical="center" indent="1"/>
    </xf>
    <xf numFmtId="0" fontId="12" fillId="9" borderId="21"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2" xfId="0" applyFont="1" applyFill="1" applyBorder="1" applyAlignment="1">
      <alignment horizontal="right" vertical="center" indent="1"/>
    </xf>
    <xf numFmtId="9" fontId="12" fillId="10" borderId="9" xfId="1" applyFont="1" applyFill="1" applyBorder="1" applyAlignment="1">
      <alignment horizontal="left" vertical="center" indent="2"/>
    </xf>
    <xf numFmtId="164" fontId="3" fillId="10" borderId="22"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21" xfId="0" applyNumberFormat="1" applyFont="1" applyFill="1" applyBorder="1" applyAlignment="1">
      <alignment horizontal="right" vertical="center"/>
    </xf>
    <xf numFmtId="9" fontId="22" fillId="12" borderId="14"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4" xfId="1" applyFont="1" applyFill="1" applyBorder="1" applyAlignment="1">
      <alignment horizontal="right" vertical="center" indent="1"/>
    </xf>
    <xf numFmtId="9" fontId="3" fillId="12" borderId="12" xfId="1" applyFont="1" applyFill="1" applyBorder="1" applyAlignment="1">
      <alignment horizontal="right" vertical="center" indent="1"/>
    </xf>
    <xf numFmtId="10" fontId="15" fillId="12" borderId="12" xfId="0" applyNumberFormat="1" applyFont="1" applyFill="1" applyBorder="1" applyAlignment="1">
      <alignment vertical="center"/>
    </xf>
    <xf numFmtId="164" fontId="3" fillId="10" borderId="9"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11" fillId="12" borderId="9" xfId="0" applyFont="1" applyFill="1" applyBorder="1" applyAlignment="1">
      <alignment horizontal="left" vertical="center" indent="2"/>
    </xf>
    <xf numFmtId="10" fontId="11" fillId="12" borderId="22" xfId="1" applyNumberFormat="1" applyFont="1" applyFill="1" applyBorder="1" applyAlignment="1">
      <alignment horizontal="right" vertical="center" indent="1"/>
    </xf>
    <xf numFmtId="10" fontId="11" fillId="12" borderId="9"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2" fontId="15" fillId="12" borderId="12" xfId="0" applyNumberFormat="1" applyFont="1" applyFill="1" applyBorder="1" applyAlignment="1">
      <alignment vertical="center"/>
    </xf>
    <xf numFmtId="0" fontId="23" fillId="12" borderId="14" xfId="0" applyFont="1" applyFill="1" applyBorder="1" applyAlignment="1">
      <alignment horizontal="left" vertical="center" indent="1"/>
    </xf>
    <xf numFmtId="0" fontId="18" fillId="12" borderId="23" xfId="0" applyFont="1" applyFill="1" applyBorder="1" applyAlignment="1">
      <alignment horizontal="left" vertical="center" wrapText="1"/>
    </xf>
    <xf numFmtId="10" fontId="19" fillId="12" borderId="24" xfId="0" applyNumberFormat="1" applyFont="1" applyFill="1" applyBorder="1" applyAlignment="1">
      <alignment vertical="center"/>
    </xf>
    <xf numFmtId="9" fontId="12" fillId="10" borderId="23" xfId="1" applyFont="1" applyFill="1" applyBorder="1" applyAlignment="1">
      <alignment horizontal="left" vertical="center" indent="2"/>
    </xf>
    <xf numFmtId="9" fontId="3" fillId="10" borderId="25" xfId="1" applyFont="1" applyFill="1" applyBorder="1" applyAlignment="1">
      <alignment horizontal="right" vertical="center" indent="1"/>
    </xf>
    <xf numFmtId="9" fontId="3" fillId="10" borderId="23"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4" xfId="1" applyFont="1" applyFill="1" applyBorder="1" applyAlignment="1">
      <alignment horizontal="right" vertical="center"/>
    </xf>
    <xf numFmtId="164" fontId="15" fillId="12" borderId="12"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2" xfId="0" applyNumberFormat="1" applyFont="1" applyFill="1" applyBorder="1" applyAlignment="1">
      <alignment horizontal="right" vertical="center"/>
    </xf>
    <xf numFmtId="10" fontId="19" fillId="12" borderId="24" xfId="0" applyNumberFormat="1" applyFont="1" applyFill="1" applyBorder="1" applyAlignment="1">
      <alignment horizontal="right" vertical="center"/>
    </xf>
    <xf numFmtId="0" fontId="11" fillId="11" borderId="0" xfId="0" applyFont="1" applyFill="1" applyAlignment="1">
      <alignment horizontal="left" vertical="center" wrapText="1" indent="3"/>
    </xf>
    <xf numFmtId="9" fontId="3" fillId="10" borderId="23" xfId="1" applyFont="1" applyFill="1" applyBorder="1" applyAlignment="1">
      <alignment horizontal="center" vertical="center"/>
    </xf>
    <xf numFmtId="9" fontId="3" fillId="10" borderId="24" xfId="1" applyFont="1" applyFill="1" applyBorder="1" applyAlignment="1">
      <alignment horizontal="center" vertical="center"/>
    </xf>
    <xf numFmtId="10" fontId="12" fillId="9" borderId="23" xfId="1" applyNumberFormat="1" applyFont="1" applyFill="1" applyBorder="1" applyAlignment="1">
      <alignment horizontal="center" vertical="center"/>
    </xf>
    <xf numFmtId="10" fontId="12" fillId="9" borderId="24"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9" xfId="1" applyFont="1" applyFill="1" applyBorder="1" applyAlignment="1">
      <alignment horizontal="center" vertical="center"/>
    </xf>
    <xf numFmtId="9" fontId="12" fillId="12" borderId="10" xfId="1" applyFont="1" applyFill="1" applyBorder="1" applyAlignment="1">
      <alignment horizontal="center" vertical="center"/>
    </xf>
    <xf numFmtId="9" fontId="3" fillId="10" borderId="9" xfId="1" applyFont="1" applyFill="1" applyBorder="1" applyAlignment="1">
      <alignment horizontal="center" vertical="center"/>
    </xf>
    <xf numFmtId="9" fontId="3" fillId="10" borderId="10" xfId="1" applyFont="1" applyFill="1" applyBorder="1" applyAlignment="1">
      <alignment horizontal="center" vertical="center"/>
    </xf>
    <xf numFmtId="0" fontId="11"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34.74</v>
    <v>9.4450000000000003</v>
    <v>1.7130000000000001</v>
    <v>7.05</v>
    <v>0.25599100000000002</v>
    <v>-0.34</v>
    <v>-9.8289999999999992E-3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34.74</v>
    <v>Software &amp; IT Services</v>
    <v>Stock</v>
    <v>45261.937234073441</v>
    <v>0</v>
    <v>29.63</v>
    <v>18503990000</v>
    <v>SAMSARA INC.</v>
    <v>SAMSARA INC.</v>
    <v>31</v>
    <v>27.54</v>
    <v>34.590000000000003</v>
    <v>34.25</v>
    <v>534952100</v>
    <v>IOT</v>
    <v>SAMSARA INC. (XNYS:IOT)</v>
    <v>16766615</v>
    <v>2385195</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O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IO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54" workbookViewId="0">
      <selection activeCell="B188" sqref="B188:E188"/>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1" t="s">
        <v>9</v>
      </c>
      <c r="B2" s="27">
        <v>119865000</v>
      </c>
      <c r="C2" s="27">
        <v>249905000</v>
      </c>
      <c r="D2" s="27">
        <v>428345000</v>
      </c>
      <c r="E2" s="27">
        <v>652545000</v>
      </c>
      <c r="F2" s="28">
        <v>714220000</v>
      </c>
      <c r="G2" s="27">
        <v>153523000</v>
      </c>
      <c r="H2" s="27">
        <v>169800000</v>
      </c>
      <c r="I2" s="27">
        <v>186577000</v>
      </c>
      <c r="J2" s="27">
        <v>204320000</v>
      </c>
    </row>
    <row r="3" spans="1:10" ht="16" x14ac:dyDescent="0.2">
      <c r="A3" s="9" t="s">
        <v>182</v>
      </c>
      <c r="B3" s="10"/>
      <c r="C3" s="11">
        <f t="shared" ref="C3:J3" si="0">(C2/B2)-1</f>
        <v>1.0848871647269847</v>
      </c>
      <c r="D3" s="11">
        <f t="shared" si="0"/>
        <v>0.71403133190612422</v>
      </c>
      <c r="E3" s="11">
        <f t="shared" si="0"/>
        <v>0.52340986821370628</v>
      </c>
      <c r="F3" s="11">
        <f t="shared" si="0"/>
        <v>9.4514554551793362E-2</v>
      </c>
      <c r="G3" s="11"/>
      <c r="H3" s="11">
        <f t="shared" si="0"/>
        <v>0.10602320173524493</v>
      </c>
      <c r="I3" s="11">
        <f t="shared" si="0"/>
        <v>9.8804475853945917E-2</v>
      </c>
      <c r="J3" s="11">
        <f t="shared" si="0"/>
        <v>9.5097466461568247E-2</v>
      </c>
    </row>
    <row r="4" spans="1:10" ht="16" x14ac:dyDescent="0.2">
      <c r="A4" s="3" t="s">
        <v>10</v>
      </c>
      <c r="B4" s="4">
        <v>119865000</v>
      </c>
      <c r="C4" s="4">
        <v>249905000</v>
      </c>
      <c r="D4" s="4">
        <v>428345000</v>
      </c>
      <c r="E4" s="4">
        <v>652545000</v>
      </c>
      <c r="F4" s="5">
        <v>714220000</v>
      </c>
      <c r="G4" s="4">
        <v>153523000</v>
      </c>
      <c r="H4" s="4">
        <v>169800000</v>
      </c>
      <c r="I4" s="4">
        <v>186577000</v>
      </c>
      <c r="J4" s="4">
        <v>204320000</v>
      </c>
    </row>
    <row r="5" spans="1:10" ht="16" x14ac:dyDescent="0.2">
      <c r="A5" s="3" t="s">
        <v>11</v>
      </c>
      <c r="B5" s="4">
        <v>48322000</v>
      </c>
      <c r="C5" s="4">
        <v>75393000</v>
      </c>
      <c r="D5" s="4">
        <v>124484000</v>
      </c>
      <c r="E5" s="4">
        <v>182656000</v>
      </c>
      <c r="F5" s="5">
        <v>200595000</v>
      </c>
      <c r="G5" s="4">
        <v>44257000</v>
      </c>
      <c r="H5" s="4">
        <v>47253000</v>
      </c>
      <c r="I5" s="4">
        <v>51528000</v>
      </c>
      <c r="J5" s="4">
        <v>57557000</v>
      </c>
    </row>
    <row r="6" spans="1:10" ht="16" x14ac:dyDescent="0.2">
      <c r="A6" s="3" t="s">
        <v>12</v>
      </c>
      <c r="B6" s="4">
        <v>48322000</v>
      </c>
      <c r="C6" s="4">
        <v>75393000</v>
      </c>
      <c r="D6" s="4">
        <v>124484000</v>
      </c>
      <c r="E6" s="4">
        <v>182656000</v>
      </c>
      <c r="F6" s="5">
        <v>200595000</v>
      </c>
      <c r="G6" s="4">
        <v>44257000</v>
      </c>
      <c r="H6" s="4">
        <v>47253000</v>
      </c>
      <c r="I6" s="4">
        <v>51528000</v>
      </c>
      <c r="J6" s="4">
        <v>57557000</v>
      </c>
    </row>
    <row r="7" spans="1:10" ht="16" x14ac:dyDescent="0.2">
      <c r="A7" s="31" t="s">
        <v>13</v>
      </c>
      <c r="B7" s="27">
        <v>71543000</v>
      </c>
      <c r="C7" s="27">
        <v>174512000</v>
      </c>
      <c r="D7" s="27">
        <v>303861000</v>
      </c>
      <c r="E7" s="27">
        <v>469889000</v>
      </c>
      <c r="F7" s="28">
        <v>513625000</v>
      </c>
      <c r="G7" s="27">
        <v>109266000</v>
      </c>
      <c r="H7" s="27">
        <v>122547000</v>
      </c>
      <c r="I7" s="27">
        <v>135049000</v>
      </c>
      <c r="J7" s="27">
        <v>146763000</v>
      </c>
    </row>
    <row r="8" spans="1:10" ht="16" x14ac:dyDescent="0.2">
      <c r="A8" s="26" t="s">
        <v>49</v>
      </c>
      <c r="B8" s="29">
        <v>59.69</v>
      </c>
      <c r="C8" s="29">
        <v>69.83</v>
      </c>
      <c r="D8" s="29">
        <v>70.94</v>
      </c>
      <c r="E8" s="29">
        <v>72.010000000000005</v>
      </c>
      <c r="F8" s="30">
        <v>71.91</v>
      </c>
      <c r="G8" s="29">
        <v>71.17</v>
      </c>
      <c r="H8" s="29">
        <v>72.17</v>
      </c>
      <c r="I8" s="29">
        <v>72.38</v>
      </c>
      <c r="J8" s="29">
        <v>71.83</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299361000</v>
      </c>
      <c r="C10" s="4">
        <v>377223000</v>
      </c>
      <c r="D10" s="4">
        <v>656177000</v>
      </c>
      <c r="E10" s="4">
        <v>728288000</v>
      </c>
      <c r="F10" s="5">
        <v>778699000</v>
      </c>
      <c r="G10" s="4">
        <v>175048000</v>
      </c>
      <c r="H10" s="4">
        <v>186023000</v>
      </c>
      <c r="I10" s="4">
        <v>195041000</v>
      </c>
      <c r="J10" s="4">
        <v>222587000</v>
      </c>
    </row>
    <row r="11" spans="1:10" ht="16" x14ac:dyDescent="0.2">
      <c r="A11" s="26" t="s">
        <v>17</v>
      </c>
      <c r="B11" s="27">
        <v>228895000</v>
      </c>
      <c r="C11" s="27">
        <v>277485000</v>
      </c>
      <c r="D11" s="27">
        <v>451052000</v>
      </c>
      <c r="E11" s="27">
        <v>540883000</v>
      </c>
      <c r="F11" s="28">
        <v>571913000</v>
      </c>
      <c r="G11" s="27">
        <v>133201000</v>
      </c>
      <c r="H11" s="27">
        <v>136053000</v>
      </c>
      <c r="I11" s="27">
        <v>140438000</v>
      </c>
      <c r="J11" s="27">
        <v>162221000</v>
      </c>
    </row>
    <row r="12" spans="1:10" ht="16" x14ac:dyDescent="0.2">
      <c r="A12" s="12" t="s">
        <v>183</v>
      </c>
      <c r="B12" s="11">
        <f t="shared" ref="B12:J12" si="1">B11/B2</f>
        <v>1.909606640804238</v>
      </c>
      <c r="C12" s="11">
        <f t="shared" si="1"/>
        <v>1.1103619375362639</v>
      </c>
      <c r="D12" s="11">
        <f t="shared" si="1"/>
        <v>1.0530110074822865</v>
      </c>
      <c r="E12" s="11">
        <f t="shared" si="1"/>
        <v>0.82888229930502877</v>
      </c>
      <c r="F12" s="11">
        <f t="shared" si="1"/>
        <v>0.80075186917196384</v>
      </c>
      <c r="G12" s="11">
        <f t="shared" si="1"/>
        <v>0.86762895461917755</v>
      </c>
      <c r="H12" s="11">
        <f t="shared" si="1"/>
        <v>0.80125441696113076</v>
      </c>
      <c r="I12" s="11">
        <f t="shared" si="1"/>
        <v>0.75270799723438575</v>
      </c>
      <c r="J12" s="11">
        <f t="shared" si="1"/>
        <v>0.79395555990602973</v>
      </c>
    </row>
    <row r="13" spans="1:10" ht="16" x14ac:dyDescent="0.2">
      <c r="A13" s="26" t="s">
        <v>18</v>
      </c>
      <c r="B13" s="27">
        <v>70466000</v>
      </c>
      <c r="C13" s="27">
        <v>99738000</v>
      </c>
      <c r="D13" s="27">
        <v>205125000</v>
      </c>
      <c r="E13" s="27">
        <v>187405000</v>
      </c>
      <c r="F13" s="28">
        <v>206786000</v>
      </c>
      <c r="G13" s="27">
        <v>41847000</v>
      </c>
      <c r="H13" s="27">
        <v>49970000</v>
      </c>
      <c r="I13" s="27">
        <v>54603000</v>
      </c>
      <c r="J13" s="27">
        <v>60366000</v>
      </c>
    </row>
    <row r="14" spans="1:10" ht="16" x14ac:dyDescent="0.2">
      <c r="A14" s="13" t="s">
        <v>184</v>
      </c>
      <c r="B14" s="14">
        <f t="shared" ref="B14:J14" si="2">B13/B2</f>
        <v>0.58787802944979772</v>
      </c>
      <c r="C14" s="14">
        <f t="shared" si="2"/>
        <v>0.39910365939056841</v>
      </c>
      <c r="D14" s="14">
        <f t="shared" si="2"/>
        <v>0.4788780072138113</v>
      </c>
      <c r="E14" s="14">
        <f t="shared" si="2"/>
        <v>0.28719092169888666</v>
      </c>
      <c r="F14" s="14">
        <f t="shared" si="2"/>
        <v>0.28952703648735684</v>
      </c>
      <c r="G14" s="14">
        <f t="shared" si="2"/>
        <v>0.27257805019443343</v>
      </c>
      <c r="H14" s="14">
        <f t="shared" si="2"/>
        <v>0.29428739693757361</v>
      </c>
      <c r="I14" s="14">
        <f t="shared" si="2"/>
        <v>0.29265665114135181</v>
      </c>
      <c r="J14" s="14">
        <f t="shared" si="2"/>
        <v>0.29544831636648394</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1" t="s">
        <v>20</v>
      </c>
      <c r="B16" s="27">
        <v>-227818000</v>
      </c>
      <c r="C16" s="27">
        <v>-202711000</v>
      </c>
      <c r="D16" s="27">
        <v>-352316000</v>
      </c>
      <c r="E16" s="27">
        <v>-258399000</v>
      </c>
      <c r="F16" s="28">
        <v>-265074000</v>
      </c>
      <c r="G16" s="27">
        <v>-65782000</v>
      </c>
      <c r="H16" s="27">
        <v>-63476000</v>
      </c>
      <c r="I16" s="27">
        <v>-59992000</v>
      </c>
      <c r="J16" s="27">
        <v>-75824000</v>
      </c>
    </row>
    <row r="17" spans="1:10" ht="16" x14ac:dyDescent="0.2">
      <c r="A17" s="26" t="s">
        <v>50</v>
      </c>
      <c r="B17" s="29">
        <v>-190.06</v>
      </c>
      <c r="C17" s="29">
        <v>-81.12</v>
      </c>
      <c r="D17" s="29">
        <v>-82.25</v>
      </c>
      <c r="E17" s="29">
        <v>-39.6</v>
      </c>
      <c r="F17" s="30">
        <v>-37.11</v>
      </c>
      <c r="G17" s="29">
        <v>-42.85</v>
      </c>
      <c r="H17" s="29">
        <v>-37.380000000000003</v>
      </c>
      <c r="I17" s="29">
        <v>-32.15</v>
      </c>
      <c r="J17" s="29">
        <v>-37.11</v>
      </c>
    </row>
    <row r="18" spans="1:10" ht="16" x14ac:dyDescent="0.2">
      <c r="A18" s="15" t="s">
        <v>185</v>
      </c>
      <c r="B18" s="10"/>
      <c r="C18" s="11">
        <f>(C16/B16)-1</f>
        <v>-0.11020639282234068</v>
      </c>
      <c r="D18" s="11">
        <f>(D16/C16)-1</f>
        <v>0.73802112366867112</v>
      </c>
      <c r="E18" s="11">
        <f>(E16/D16)-1</f>
        <v>-0.26657035161616272</v>
      </c>
      <c r="F18" s="11">
        <f t="shared" ref="F18:J18" si="3">(F16/E16)-1</f>
        <v>2.5832143313248013E-2</v>
      </c>
      <c r="G18" s="11"/>
      <c r="H18" s="11">
        <f t="shared" si="3"/>
        <v>-3.5055182268705742E-2</v>
      </c>
      <c r="I18" s="11">
        <f t="shared" si="3"/>
        <v>-5.4886886382254696E-2</v>
      </c>
      <c r="J18" s="11">
        <f t="shared" si="3"/>
        <v>0.26390185358047735</v>
      </c>
    </row>
    <row r="19" spans="1:10" ht="16" x14ac:dyDescent="0.2">
      <c r="A19" s="3" t="s">
        <v>21</v>
      </c>
      <c r="B19" s="4">
        <v>-2934000</v>
      </c>
      <c r="C19" s="4">
        <v>7410000</v>
      </c>
      <c r="D19" s="4">
        <v>1534000</v>
      </c>
      <c r="E19" s="4">
        <v>-14564000</v>
      </c>
      <c r="F19" s="5">
        <v>-24575000</v>
      </c>
      <c r="G19" s="4">
        <v>-1541000</v>
      </c>
      <c r="H19" s="4">
        <v>-5613000</v>
      </c>
      <c r="I19" s="4">
        <v>-8526000</v>
      </c>
      <c r="J19" s="4">
        <v>-8895000</v>
      </c>
    </row>
    <row r="20" spans="1:10" ht="16" x14ac:dyDescent="0.2">
      <c r="A20" s="3" t="s">
        <v>22</v>
      </c>
      <c r="B20" s="4" t="s">
        <v>15</v>
      </c>
      <c r="C20" s="4">
        <v>-642000</v>
      </c>
      <c r="D20" s="4">
        <v>-2000</v>
      </c>
      <c r="E20" s="4">
        <v>-15620000</v>
      </c>
      <c r="F20" s="5">
        <v>-15680000</v>
      </c>
      <c r="G20" s="4">
        <v>-1541000</v>
      </c>
      <c r="H20" s="4">
        <v>-5613000</v>
      </c>
      <c r="I20" s="4">
        <v>-8526000</v>
      </c>
      <c r="J20" s="4" t="s">
        <v>15</v>
      </c>
    </row>
    <row r="21" spans="1:10" ht="16" x14ac:dyDescent="0.2">
      <c r="A21" s="3" t="s">
        <v>23</v>
      </c>
      <c r="B21" s="4" t="s">
        <v>15</v>
      </c>
      <c r="C21" s="4">
        <v>-642000</v>
      </c>
      <c r="D21" s="4">
        <v>-2000</v>
      </c>
      <c r="E21" s="4" t="s">
        <v>15</v>
      </c>
      <c r="F21" s="5" t="s">
        <v>15</v>
      </c>
      <c r="G21" s="4" t="s">
        <v>15</v>
      </c>
      <c r="H21" s="4" t="s">
        <v>15</v>
      </c>
      <c r="I21" s="4" t="s">
        <v>15</v>
      </c>
      <c r="J21" s="4" t="s">
        <v>15</v>
      </c>
    </row>
    <row r="22" spans="1:10" ht="16" x14ac:dyDescent="0.2">
      <c r="A22" s="3" t="s">
        <v>24</v>
      </c>
      <c r="B22" s="4" t="s">
        <v>15</v>
      </c>
      <c r="C22" s="4" t="s">
        <v>15</v>
      </c>
      <c r="D22" s="4" t="s">
        <v>15</v>
      </c>
      <c r="E22" s="4">
        <v>15620000</v>
      </c>
      <c r="F22" s="5">
        <v>15680000</v>
      </c>
      <c r="G22" s="4">
        <v>1541000</v>
      </c>
      <c r="H22" s="4">
        <v>5613000</v>
      </c>
      <c r="I22" s="4">
        <v>8526000</v>
      </c>
      <c r="J22" s="4" t="s">
        <v>15</v>
      </c>
    </row>
    <row r="23" spans="1:10" ht="16" x14ac:dyDescent="0.2">
      <c r="A23" s="3" t="s">
        <v>25</v>
      </c>
      <c r="B23" s="4">
        <v>-2934000</v>
      </c>
      <c r="C23" s="4">
        <v>8052000</v>
      </c>
      <c r="D23" s="4">
        <v>1536000</v>
      </c>
      <c r="E23" s="4">
        <v>1056000</v>
      </c>
      <c r="F23" s="5">
        <v>-8895000</v>
      </c>
      <c r="G23" s="4" t="s">
        <v>15</v>
      </c>
      <c r="H23" s="4" t="s">
        <v>15</v>
      </c>
      <c r="I23" s="4" t="s">
        <v>15</v>
      </c>
      <c r="J23" s="4">
        <v>-8895000</v>
      </c>
    </row>
    <row r="24" spans="1:10" ht="16" x14ac:dyDescent="0.2">
      <c r="A24" s="3" t="s">
        <v>26</v>
      </c>
      <c r="B24" s="4">
        <v>-224884000</v>
      </c>
      <c r="C24" s="4">
        <v>-210121000</v>
      </c>
      <c r="D24" s="4">
        <v>-353850000</v>
      </c>
      <c r="E24" s="4">
        <v>-243835000</v>
      </c>
      <c r="F24" s="5">
        <v>-240499000</v>
      </c>
      <c r="G24" s="4">
        <v>-64241000</v>
      </c>
      <c r="H24" s="4">
        <v>-57863000</v>
      </c>
      <c r="I24" s="4">
        <v>-51466000</v>
      </c>
      <c r="J24" s="4">
        <v>-66929000</v>
      </c>
    </row>
    <row r="25" spans="1:10" ht="16" x14ac:dyDescent="0.2">
      <c r="A25" s="3" t="s">
        <v>27</v>
      </c>
      <c r="B25" s="4">
        <v>340000</v>
      </c>
      <c r="C25" s="4">
        <v>87000</v>
      </c>
      <c r="D25" s="4">
        <v>1174000</v>
      </c>
      <c r="E25" s="4">
        <v>3587000</v>
      </c>
      <c r="F25" s="5">
        <v>3791000</v>
      </c>
      <c r="G25" s="4">
        <v>40000</v>
      </c>
      <c r="H25" s="4">
        <v>692000</v>
      </c>
      <c r="I25" s="4">
        <v>2132000</v>
      </c>
      <c r="J25" s="4">
        <v>927000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-225224000</v>
      </c>
      <c r="C27" s="4">
        <v>-210208000</v>
      </c>
      <c r="D27" s="4">
        <v>-355024000</v>
      </c>
      <c r="E27" s="4">
        <v>-247422000</v>
      </c>
      <c r="F27" s="5">
        <v>-244290000</v>
      </c>
      <c r="G27" s="4">
        <v>-64281000</v>
      </c>
      <c r="H27" s="4">
        <v>-58555000</v>
      </c>
      <c r="I27" s="4">
        <v>-53598000</v>
      </c>
      <c r="J27" s="4">
        <v>-67856000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-225224000</v>
      </c>
      <c r="C31" s="4">
        <v>-210208000</v>
      </c>
      <c r="D31" s="4">
        <v>-355024000</v>
      </c>
      <c r="E31" s="4">
        <v>-247422000</v>
      </c>
      <c r="F31" s="5">
        <v>-244290000</v>
      </c>
      <c r="G31" s="4">
        <v>-64281000</v>
      </c>
      <c r="H31" s="4">
        <v>-58555000</v>
      </c>
      <c r="I31" s="4">
        <v>-53598000</v>
      </c>
      <c r="J31" s="4">
        <v>-67856000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1" t="s">
        <v>35</v>
      </c>
      <c r="B33" s="27">
        <v>-225224000</v>
      </c>
      <c r="C33" s="27">
        <v>-210208000</v>
      </c>
      <c r="D33" s="27">
        <v>-355024000</v>
      </c>
      <c r="E33" s="27">
        <v>-247422000</v>
      </c>
      <c r="F33" s="28">
        <v>-244290000</v>
      </c>
      <c r="G33" s="27">
        <v>-64281000</v>
      </c>
      <c r="H33" s="27">
        <v>-58555000</v>
      </c>
      <c r="I33" s="27">
        <v>-53598000</v>
      </c>
      <c r="J33" s="27">
        <v>-67856000</v>
      </c>
    </row>
    <row r="34" spans="1:10" ht="16" x14ac:dyDescent="0.2">
      <c r="A34" s="26" t="s">
        <v>51</v>
      </c>
      <c r="B34" s="29">
        <v>-187.9</v>
      </c>
      <c r="C34" s="29">
        <v>-84.12</v>
      </c>
      <c r="D34" s="29">
        <v>-82.88</v>
      </c>
      <c r="E34" s="29">
        <v>-37.92</v>
      </c>
      <c r="F34" s="30">
        <v>-34.200000000000003</v>
      </c>
      <c r="G34" s="29">
        <v>-41.87</v>
      </c>
      <c r="H34" s="29">
        <v>-34.479999999999997</v>
      </c>
      <c r="I34" s="29">
        <v>-28.73</v>
      </c>
      <c r="J34" s="29">
        <v>-33.21</v>
      </c>
    </row>
    <row r="35" spans="1:10" ht="16" x14ac:dyDescent="0.2">
      <c r="A35" s="16" t="s">
        <v>186</v>
      </c>
      <c r="B35" s="17"/>
      <c r="C35" s="14">
        <f>(C33/B33)-1</f>
        <v>-6.6671402692430659E-2</v>
      </c>
      <c r="D35" s="14">
        <f>(D33/C33)-1</f>
        <v>0.68891764347693707</v>
      </c>
      <c r="E35" s="14">
        <f>(E33/D33)-1</f>
        <v>-0.30308373518410026</v>
      </c>
      <c r="F35" s="14">
        <f t="shared" ref="F35:J35" si="4">(F33/E33)-1</f>
        <v>-1.2658534810970679E-2</v>
      </c>
      <c r="G35" s="14"/>
      <c r="H35" s="14">
        <f t="shared" si="4"/>
        <v>-8.9077643471632384E-2</v>
      </c>
      <c r="I35" s="14">
        <f t="shared" si="4"/>
        <v>-8.4655452139014598E-2</v>
      </c>
      <c r="J35" s="14">
        <f t="shared" si="4"/>
        <v>0.26601738870853398</v>
      </c>
    </row>
    <row r="36" spans="1:10" ht="16" x14ac:dyDescent="0.2">
      <c r="A36" s="18" t="s">
        <v>187</v>
      </c>
      <c r="B36" s="19">
        <f t="shared" ref="B36:J36" si="5">(B16*(1-0.25))/(B126+B105+B96)</f>
        <v>1.0907410835689981</v>
      </c>
      <c r="C36" s="19">
        <f t="shared" si="5"/>
        <v>0.42286783541800521</v>
      </c>
      <c r="D36" s="19">
        <f t="shared" si="5"/>
        <v>-0.23303233863094591</v>
      </c>
      <c r="E36" s="19">
        <f t="shared" si="5"/>
        <v>-0.18266766515322747</v>
      </c>
      <c r="F36" s="19">
        <f t="shared" si="5"/>
        <v>-0.19339564365990158</v>
      </c>
      <c r="G36" s="19">
        <f t="shared" si="5"/>
        <v>-4.5398623405782434E-2</v>
      </c>
      <c r="H36" s="19">
        <f t="shared" si="5"/>
        <v>-4.4591040392043729E-2</v>
      </c>
      <c r="I36" s="19">
        <f t="shared" si="5"/>
        <v>-4.240960130601288E-2</v>
      </c>
      <c r="J36" s="19">
        <f t="shared" si="5"/>
        <v>-5.5320519118692804E-2</v>
      </c>
    </row>
    <row r="37" spans="1:10" ht="16" x14ac:dyDescent="0.2">
      <c r="A37" s="3" t="s">
        <v>36</v>
      </c>
      <c r="B37" s="4" t="s">
        <v>15</v>
      </c>
      <c r="C37" s="4">
        <v>9624000</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-225224000</v>
      </c>
      <c r="C39" s="4">
        <v>-219832000</v>
      </c>
      <c r="D39" s="4">
        <v>-355024000</v>
      </c>
      <c r="E39" s="4">
        <v>-247422000</v>
      </c>
      <c r="F39" s="5">
        <v>-244290000</v>
      </c>
      <c r="G39" s="4">
        <v>-64281000</v>
      </c>
      <c r="H39" s="4">
        <v>-58555000</v>
      </c>
      <c r="I39" s="4">
        <v>-53598000</v>
      </c>
      <c r="J39" s="4">
        <v>-67856000</v>
      </c>
    </row>
    <row r="40" spans="1:10" ht="16" x14ac:dyDescent="0.2">
      <c r="A40" s="3" t="s">
        <v>39</v>
      </c>
      <c r="B40" s="4">
        <v>465573000</v>
      </c>
      <c r="C40" s="4">
        <v>465573000</v>
      </c>
      <c r="D40" s="4">
        <v>277543000</v>
      </c>
      <c r="E40" s="4">
        <v>514279000</v>
      </c>
      <c r="F40" s="5">
        <v>519056500</v>
      </c>
      <c r="G40" s="4">
        <v>511758000</v>
      </c>
      <c r="H40" s="4">
        <v>516551000</v>
      </c>
      <c r="I40" s="4">
        <v>521514000</v>
      </c>
      <c r="J40" s="4">
        <v>526403000</v>
      </c>
    </row>
    <row r="41" spans="1:10" ht="16" x14ac:dyDescent="0.2">
      <c r="A41" s="3" t="s">
        <v>40</v>
      </c>
      <c r="B41" s="6">
        <v>-0.48</v>
      </c>
      <c r="C41" s="6">
        <v>-0.47</v>
      </c>
      <c r="D41" s="6">
        <v>-1.28</v>
      </c>
      <c r="E41" s="6">
        <v>-0.48</v>
      </c>
      <c r="F41" s="7">
        <v>-0.47</v>
      </c>
      <c r="G41" s="6">
        <v>-0.13</v>
      </c>
      <c r="H41" s="6">
        <v>-0.11</v>
      </c>
      <c r="I41" s="6">
        <v>-0.1</v>
      </c>
      <c r="J41" s="6">
        <v>-0.13</v>
      </c>
    </row>
    <row r="42" spans="1:10" ht="16" x14ac:dyDescent="0.2">
      <c r="A42" s="3" t="s">
        <v>41</v>
      </c>
      <c r="B42" s="6">
        <v>-0.48</v>
      </c>
      <c r="C42" s="6">
        <v>-0.45</v>
      </c>
      <c r="D42" s="6">
        <v>-1.28</v>
      </c>
      <c r="E42" s="6">
        <v>-0.48</v>
      </c>
      <c r="F42" s="7">
        <v>-0.47</v>
      </c>
      <c r="G42" s="6">
        <v>-0.13</v>
      </c>
      <c r="H42" s="6">
        <v>-0.11</v>
      </c>
      <c r="I42" s="6">
        <v>-0.1</v>
      </c>
      <c r="J42" s="6">
        <v>-0.13</v>
      </c>
    </row>
    <row r="43" spans="1:10" ht="16" x14ac:dyDescent="0.2">
      <c r="A43" s="3" t="s">
        <v>42</v>
      </c>
      <c r="B43" s="4">
        <v>465573000</v>
      </c>
      <c r="C43" s="4">
        <v>465573000</v>
      </c>
      <c r="D43" s="4">
        <v>277543000</v>
      </c>
      <c r="E43" s="4">
        <v>514279000</v>
      </c>
      <c r="F43" s="5">
        <v>519056500</v>
      </c>
      <c r="G43" s="4">
        <v>511758000</v>
      </c>
      <c r="H43" s="4">
        <v>516551000</v>
      </c>
      <c r="I43" s="4">
        <v>521514000</v>
      </c>
      <c r="J43" s="4">
        <v>526403000</v>
      </c>
    </row>
    <row r="44" spans="1:10" ht="16" x14ac:dyDescent="0.2">
      <c r="A44" s="3" t="s">
        <v>43</v>
      </c>
      <c r="B44" s="6">
        <v>-0.48</v>
      </c>
      <c r="C44" s="6">
        <v>-0.47</v>
      </c>
      <c r="D44" s="6">
        <v>-1.28</v>
      </c>
      <c r="E44" s="6">
        <v>-0.48</v>
      </c>
      <c r="F44" s="7">
        <v>-0.47</v>
      </c>
      <c r="G44" s="6">
        <v>-0.13</v>
      </c>
      <c r="H44" s="6">
        <v>-0.11</v>
      </c>
      <c r="I44" s="6">
        <v>-0.1</v>
      </c>
      <c r="J44" s="6">
        <v>-0.13</v>
      </c>
    </row>
    <row r="45" spans="1:10" ht="16" x14ac:dyDescent="0.2">
      <c r="A45" s="3" t="s">
        <v>44</v>
      </c>
      <c r="B45" s="6">
        <v>-0.48</v>
      </c>
      <c r="C45" s="6">
        <v>-0.45</v>
      </c>
      <c r="D45" s="6">
        <v>-1.28</v>
      </c>
      <c r="E45" s="6">
        <v>-0.48</v>
      </c>
      <c r="F45" s="7">
        <v>-0.47</v>
      </c>
      <c r="G45" s="6">
        <v>-0.13</v>
      </c>
      <c r="H45" s="6">
        <v>-0.11</v>
      </c>
      <c r="I45" s="6">
        <v>-0.1</v>
      </c>
      <c r="J45" s="6">
        <v>-0.13</v>
      </c>
    </row>
    <row r="46" spans="1:10" ht="16" x14ac:dyDescent="0.2">
      <c r="A46" s="3" t="s">
        <v>45</v>
      </c>
      <c r="B46" s="4">
        <v>-223498000</v>
      </c>
      <c r="C46" s="4">
        <v>-191973000</v>
      </c>
      <c r="D46" s="4">
        <v>-341928000</v>
      </c>
      <c r="E46" s="4">
        <v>-246631000</v>
      </c>
      <c r="F46" s="5">
        <v>-252182000</v>
      </c>
      <c r="G46" s="4">
        <v>-63137000</v>
      </c>
      <c r="H46" s="4">
        <v>-60131000</v>
      </c>
      <c r="I46" s="4">
        <v>-56574000</v>
      </c>
      <c r="J46" s="4">
        <v>-72340000</v>
      </c>
    </row>
    <row r="47" spans="1:10" ht="16" x14ac:dyDescent="0.2">
      <c r="A47" s="3" t="s">
        <v>46</v>
      </c>
      <c r="B47" s="6">
        <v>-186.46</v>
      </c>
      <c r="C47" s="6">
        <v>-76.819999999999993</v>
      </c>
      <c r="D47" s="6">
        <v>-79.83</v>
      </c>
      <c r="E47" s="6">
        <v>-37.799999999999997</v>
      </c>
      <c r="F47" s="7">
        <v>-35.31</v>
      </c>
      <c r="G47" s="6">
        <v>-76.03</v>
      </c>
      <c r="H47" s="6">
        <v>-74.3</v>
      </c>
      <c r="I47" s="6">
        <v>-37.799999999999997</v>
      </c>
      <c r="J47" s="6">
        <v>-35.31</v>
      </c>
    </row>
    <row r="48" spans="1:10" ht="16" x14ac:dyDescent="0.2">
      <c r="A48" s="3" t="s">
        <v>47</v>
      </c>
      <c r="B48" s="4">
        <v>-227818000</v>
      </c>
      <c r="C48" s="4">
        <v>-202711000</v>
      </c>
      <c r="D48" s="4">
        <v>-352316000</v>
      </c>
      <c r="E48" s="4">
        <v>-258399000</v>
      </c>
      <c r="F48" s="5">
        <v>-265074000</v>
      </c>
      <c r="G48" s="4">
        <v>-65782000</v>
      </c>
      <c r="H48" s="4">
        <v>-63476000</v>
      </c>
      <c r="I48" s="4">
        <v>-59992000</v>
      </c>
      <c r="J48" s="4">
        <v>-75824000</v>
      </c>
    </row>
    <row r="49" spans="1:10" ht="16" x14ac:dyDescent="0.2">
      <c r="A49" s="3" t="s">
        <v>48</v>
      </c>
      <c r="B49" s="4">
        <v>-227818000</v>
      </c>
      <c r="C49" s="4">
        <v>-202711000</v>
      </c>
      <c r="D49" s="4">
        <v>-352316000</v>
      </c>
      <c r="E49" s="4">
        <v>-258399000</v>
      </c>
      <c r="F49" s="5">
        <v>-265074000</v>
      </c>
      <c r="G49" s="4">
        <v>-65782000</v>
      </c>
      <c r="H49" s="4">
        <v>-63476000</v>
      </c>
      <c r="I49" s="4">
        <v>-59992000</v>
      </c>
      <c r="J49" s="4">
        <v>-75824000</v>
      </c>
    </row>
    <row r="50" spans="1:10" ht="16" x14ac:dyDescent="0.2">
      <c r="A50" s="3" t="s">
        <v>52</v>
      </c>
      <c r="B50" s="4" t="s">
        <v>15</v>
      </c>
      <c r="C50" s="4" t="s">
        <v>15</v>
      </c>
      <c r="D50" s="4">
        <v>265065</v>
      </c>
      <c r="E50" s="4">
        <v>287972</v>
      </c>
      <c r="F50" s="5">
        <v>315190</v>
      </c>
      <c r="G50" s="4">
        <v>95002</v>
      </c>
      <c r="H50" s="4">
        <v>105074</v>
      </c>
      <c r="I50" s="4">
        <v>82338</v>
      </c>
      <c r="J50" s="4">
        <v>90168</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4320000</v>
      </c>
      <c r="C52" s="4">
        <v>10738000</v>
      </c>
      <c r="D52" s="4">
        <v>10388000</v>
      </c>
      <c r="E52" s="4">
        <v>11768000</v>
      </c>
      <c r="F52" s="5">
        <v>12892000</v>
      </c>
      <c r="G52" s="4">
        <v>2645000</v>
      </c>
      <c r="H52" s="4">
        <v>3345000</v>
      </c>
      <c r="I52" s="4">
        <v>3418000</v>
      </c>
      <c r="J52" s="4">
        <v>3484000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277479000</v>
      </c>
      <c r="C55" s="4">
        <v>491189000</v>
      </c>
      <c r="D55" s="4">
        <v>1100167000</v>
      </c>
      <c r="E55" s="4">
        <v>957535000</v>
      </c>
      <c r="F55" s="5">
        <v>970551000</v>
      </c>
      <c r="G55" s="4">
        <v>1035989000</v>
      </c>
      <c r="H55" s="4">
        <v>963033000</v>
      </c>
      <c r="I55" s="4">
        <v>957535000</v>
      </c>
      <c r="J55" s="4">
        <v>970551000</v>
      </c>
    </row>
    <row r="56" spans="1:10" ht="16" x14ac:dyDescent="0.2">
      <c r="A56" s="3" t="s">
        <v>56</v>
      </c>
      <c r="B56" s="4">
        <v>201069000</v>
      </c>
      <c r="C56" s="4">
        <v>399887000</v>
      </c>
      <c r="D56" s="4">
        <v>921218000</v>
      </c>
      <c r="E56" s="4">
        <v>689862000</v>
      </c>
      <c r="F56" s="5">
        <v>725983000</v>
      </c>
      <c r="G56" s="4">
        <v>826138000</v>
      </c>
      <c r="H56" s="4">
        <v>738855000</v>
      </c>
      <c r="I56" s="4">
        <v>689862000</v>
      </c>
      <c r="J56" s="4">
        <v>725983000</v>
      </c>
    </row>
    <row r="57" spans="1:10" ht="16" x14ac:dyDescent="0.2">
      <c r="A57" s="3" t="s">
        <v>57</v>
      </c>
      <c r="B57" s="4">
        <v>201069000</v>
      </c>
      <c r="C57" s="4">
        <v>399887000</v>
      </c>
      <c r="D57" s="4">
        <v>921218000</v>
      </c>
      <c r="E57" s="4">
        <v>200670000</v>
      </c>
      <c r="F57" s="5">
        <v>192052000</v>
      </c>
      <c r="G57" s="4">
        <v>826138000</v>
      </c>
      <c r="H57" s="4">
        <v>447040000</v>
      </c>
      <c r="I57" s="4">
        <v>200670000</v>
      </c>
      <c r="J57" s="4">
        <v>192052000</v>
      </c>
    </row>
    <row r="58" spans="1:10" ht="16" x14ac:dyDescent="0.2">
      <c r="A58" s="3" t="s">
        <v>58</v>
      </c>
      <c r="B58" s="4" t="s">
        <v>15</v>
      </c>
      <c r="C58" s="4" t="s">
        <v>15</v>
      </c>
      <c r="D58" s="4" t="s">
        <v>15</v>
      </c>
      <c r="E58" s="4">
        <v>489192000</v>
      </c>
      <c r="F58" s="5">
        <v>533931000</v>
      </c>
      <c r="G58" s="4" t="s">
        <v>15</v>
      </c>
      <c r="H58" s="4">
        <v>291815000</v>
      </c>
      <c r="I58" s="4">
        <v>489192000</v>
      </c>
      <c r="J58" s="4">
        <v>533931000</v>
      </c>
    </row>
    <row r="59" spans="1:10" ht="16" x14ac:dyDescent="0.2">
      <c r="A59" s="3" t="s">
        <v>59</v>
      </c>
      <c r="B59" s="4">
        <v>34213000</v>
      </c>
      <c r="C59" s="4">
        <v>42248000</v>
      </c>
      <c r="D59" s="4">
        <v>81987000</v>
      </c>
      <c r="E59" s="4">
        <v>122867000</v>
      </c>
      <c r="F59" s="5">
        <v>102564000</v>
      </c>
      <c r="G59" s="4">
        <v>77396000</v>
      </c>
      <c r="H59" s="4">
        <v>90796000</v>
      </c>
      <c r="I59" s="4">
        <v>122867000</v>
      </c>
      <c r="J59" s="4">
        <v>102564000</v>
      </c>
    </row>
    <row r="60" spans="1:10" ht="16" x14ac:dyDescent="0.2">
      <c r="A60" s="3" t="s">
        <v>60</v>
      </c>
      <c r="B60" s="4">
        <v>34213000</v>
      </c>
      <c r="C60" s="4">
        <v>42248000</v>
      </c>
      <c r="D60" s="4">
        <v>81987000</v>
      </c>
      <c r="E60" s="4">
        <v>122867000</v>
      </c>
      <c r="F60" s="5">
        <v>102564000</v>
      </c>
      <c r="G60" s="4">
        <v>77396000</v>
      </c>
      <c r="H60" s="4">
        <v>90796000</v>
      </c>
      <c r="I60" s="4">
        <v>122867000</v>
      </c>
      <c r="J60" s="4">
        <v>102564000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v>16516000</v>
      </c>
      <c r="C64" s="4">
        <v>13674000</v>
      </c>
      <c r="D64" s="4">
        <v>33067000</v>
      </c>
      <c r="E64" s="4">
        <v>40571000</v>
      </c>
      <c r="F64" s="5">
        <v>32403000</v>
      </c>
      <c r="G64" s="4">
        <v>39055000</v>
      </c>
      <c r="H64" s="4">
        <v>44501000</v>
      </c>
      <c r="I64" s="4">
        <v>40571000</v>
      </c>
      <c r="J64" s="4">
        <v>32403000</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v>13674000</v>
      </c>
      <c r="D67" s="4">
        <v>33067000</v>
      </c>
      <c r="E67" s="4">
        <v>40571000</v>
      </c>
      <c r="F67" s="5" t="s">
        <v>15</v>
      </c>
      <c r="G67" s="4" t="s">
        <v>15</v>
      </c>
      <c r="H67" s="4" t="s">
        <v>15</v>
      </c>
      <c r="I67" s="4">
        <v>40571000</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v>16516000</v>
      </c>
      <c r="C69" s="4" t="s">
        <v>15</v>
      </c>
      <c r="D69" s="4" t="s">
        <v>15</v>
      </c>
      <c r="E69" s="4" t="s">
        <v>15</v>
      </c>
      <c r="F69" s="5">
        <v>32403000</v>
      </c>
      <c r="G69" s="4">
        <v>39055000</v>
      </c>
      <c r="H69" s="4">
        <v>44501000</v>
      </c>
      <c r="I69" s="4" t="s">
        <v>15</v>
      </c>
      <c r="J69" s="4">
        <v>32403000</v>
      </c>
    </row>
    <row r="70" spans="1:10" ht="16" x14ac:dyDescent="0.2">
      <c r="A70" s="3" t="s">
        <v>70</v>
      </c>
      <c r="B70" s="4">
        <v>25681000</v>
      </c>
      <c r="C70" s="4">
        <v>35380000</v>
      </c>
      <c r="D70" s="4">
        <v>63895000</v>
      </c>
      <c r="E70" s="4">
        <v>104235000</v>
      </c>
      <c r="F70" s="5">
        <v>109601000</v>
      </c>
      <c r="G70" s="4">
        <v>93400000</v>
      </c>
      <c r="H70" s="4">
        <v>88881000</v>
      </c>
      <c r="I70" s="4">
        <v>104235000</v>
      </c>
      <c r="J70" s="4">
        <v>109601000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353531000</v>
      </c>
      <c r="C76" s="4">
        <v>395444000</v>
      </c>
      <c r="D76" s="4">
        <v>467762000</v>
      </c>
      <c r="E76" s="4">
        <v>659473000</v>
      </c>
      <c r="F76" s="5">
        <v>627995000</v>
      </c>
      <c r="G76" s="4">
        <v>493034000</v>
      </c>
      <c r="H76" s="4">
        <v>586949000</v>
      </c>
      <c r="I76" s="4">
        <v>659473000</v>
      </c>
      <c r="J76" s="4">
        <v>627995000</v>
      </c>
    </row>
    <row r="77" spans="1:10" ht="16" x14ac:dyDescent="0.2">
      <c r="A77" s="3" t="s">
        <v>77</v>
      </c>
      <c r="B77" s="4">
        <v>202227000</v>
      </c>
      <c r="C77" s="4">
        <v>190776000</v>
      </c>
      <c r="D77" s="4">
        <v>149379000</v>
      </c>
      <c r="E77" s="4">
        <v>138034000</v>
      </c>
      <c r="F77" s="5">
        <v>118553000</v>
      </c>
      <c r="G77" s="4">
        <v>153266000</v>
      </c>
      <c r="H77" s="4">
        <v>145568000</v>
      </c>
      <c r="I77" s="4">
        <v>138034000</v>
      </c>
      <c r="J77" s="4">
        <v>118553000</v>
      </c>
    </row>
    <row r="78" spans="1:10" ht="16" x14ac:dyDescent="0.2">
      <c r="A78" s="3" t="s">
        <v>78</v>
      </c>
      <c r="B78" s="4">
        <v>208606000</v>
      </c>
      <c r="C78" s="4">
        <v>205051000</v>
      </c>
      <c r="D78" s="4">
        <v>171199000</v>
      </c>
      <c r="E78" s="4">
        <v>171902000</v>
      </c>
      <c r="F78" s="5">
        <v>156095000</v>
      </c>
      <c r="G78" s="4">
        <v>180117000</v>
      </c>
      <c r="H78" s="4">
        <v>175869000</v>
      </c>
      <c r="I78" s="4">
        <v>171902000</v>
      </c>
      <c r="J78" s="4">
        <v>156095000</v>
      </c>
    </row>
    <row r="79" spans="1:10" ht="16" x14ac:dyDescent="0.2">
      <c r="A79" s="3" t="s">
        <v>79</v>
      </c>
      <c r="B79" s="4">
        <v>6379000</v>
      </c>
      <c r="C79" s="4">
        <v>14275000</v>
      </c>
      <c r="D79" s="4">
        <v>21820000</v>
      </c>
      <c r="E79" s="4">
        <v>33868000</v>
      </c>
      <c r="F79" s="5">
        <v>37542000</v>
      </c>
      <c r="G79" s="4">
        <v>26851000</v>
      </c>
      <c r="H79" s="4">
        <v>30301000</v>
      </c>
      <c r="I79" s="4">
        <v>33868000</v>
      </c>
      <c r="J79" s="4">
        <v>37542000</v>
      </c>
    </row>
    <row r="80" spans="1:10" ht="16" x14ac:dyDescent="0.2">
      <c r="A80" s="3" t="s">
        <v>80</v>
      </c>
      <c r="B80" s="4" t="s">
        <v>15</v>
      </c>
      <c r="C80" s="4" t="s">
        <v>15</v>
      </c>
      <c r="D80" s="4" t="s">
        <v>15</v>
      </c>
      <c r="E80" s="4">
        <v>113101000</v>
      </c>
      <c r="F80" s="5">
        <v>87770000</v>
      </c>
      <c r="G80" s="4" t="s">
        <v>15</v>
      </c>
      <c r="H80" s="4">
        <v>63688000</v>
      </c>
      <c r="I80" s="4">
        <v>113101000</v>
      </c>
      <c r="J80" s="4">
        <v>87770000</v>
      </c>
    </row>
    <row r="81" spans="1:10" ht="16" x14ac:dyDescent="0.2">
      <c r="A81" s="3" t="s">
        <v>81</v>
      </c>
      <c r="B81" s="4" t="s">
        <v>15</v>
      </c>
      <c r="C81" s="4" t="s">
        <v>15</v>
      </c>
      <c r="D81" s="4" t="s">
        <v>15</v>
      </c>
      <c r="E81" s="4">
        <v>113101000</v>
      </c>
      <c r="F81" s="5">
        <v>87770000</v>
      </c>
      <c r="G81" s="4" t="s">
        <v>15</v>
      </c>
      <c r="H81" s="4">
        <v>63688000</v>
      </c>
      <c r="I81" s="4">
        <v>113101000</v>
      </c>
      <c r="J81" s="4">
        <v>87770000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151304000</v>
      </c>
      <c r="C83" s="4">
        <v>204668000</v>
      </c>
      <c r="D83" s="4">
        <v>318383000</v>
      </c>
      <c r="E83" s="4">
        <v>408338000</v>
      </c>
      <c r="F83" s="5">
        <v>421672000</v>
      </c>
      <c r="G83" s="4">
        <v>339768000</v>
      </c>
      <c r="H83" s="4">
        <v>377693000</v>
      </c>
      <c r="I83" s="4">
        <v>408338000</v>
      </c>
      <c r="J83" s="4">
        <v>421672000</v>
      </c>
    </row>
    <row r="84" spans="1:10" ht="16" x14ac:dyDescent="0.2">
      <c r="A84" s="3" t="s">
        <v>84</v>
      </c>
      <c r="B84" s="4" t="s">
        <v>15</v>
      </c>
      <c r="C84" s="4" t="s">
        <v>15</v>
      </c>
      <c r="D84" s="4" t="s">
        <v>15</v>
      </c>
      <c r="E84" s="4" t="s">
        <v>15</v>
      </c>
      <c r="F84" s="5" t="s">
        <v>15</v>
      </c>
      <c r="G84" s="4" t="s">
        <v>15</v>
      </c>
      <c r="H84" s="4" t="s">
        <v>15</v>
      </c>
      <c r="I84" s="4" t="s">
        <v>15</v>
      </c>
      <c r="J84" s="4" t="s">
        <v>15</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t="s">
        <v>15</v>
      </c>
      <c r="G86" s="4" t="s">
        <v>15</v>
      </c>
      <c r="H86" s="4" t="s">
        <v>15</v>
      </c>
      <c r="I86" s="4" t="s">
        <v>15</v>
      </c>
      <c r="J86" s="4" t="s">
        <v>15</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151304000</v>
      </c>
      <c r="C89" s="4">
        <v>204668000</v>
      </c>
      <c r="D89" s="4">
        <v>318383000</v>
      </c>
      <c r="E89" s="4">
        <v>408338000</v>
      </c>
      <c r="F89" s="5">
        <v>421672000</v>
      </c>
      <c r="G89" s="4">
        <v>339768000</v>
      </c>
      <c r="H89" s="4">
        <v>377693000</v>
      </c>
      <c r="I89" s="4">
        <v>408338000</v>
      </c>
      <c r="J89" s="4">
        <v>421672000</v>
      </c>
    </row>
    <row r="90" spans="1:10" ht="16" x14ac:dyDescent="0.2">
      <c r="A90" s="3" t="s">
        <v>90</v>
      </c>
      <c r="B90" s="4">
        <v>631010000</v>
      </c>
      <c r="C90" s="4">
        <v>886633000</v>
      </c>
      <c r="D90" s="4">
        <v>1567929000</v>
      </c>
      <c r="E90" s="4">
        <v>1617008000</v>
      </c>
      <c r="F90" s="5">
        <v>1598546000</v>
      </c>
      <c r="G90" s="4">
        <v>1529023000</v>
      </c>
      <c r="H90" s="4">
        <v>1549982000</v>
      </c>
      <c r="I90" s="4">
        <v>1617008000</v>
      </c>
      <c r="J90" s="4">
        <v>1598546000</v>
      </c>
    </row>
    <row r="91" spans="1:10" ht="16" x14ac:dyDescent="0.2">
      <c r="A91" s="3" t="s">
        <v>91</v>
      </c>
      <c r="B91" s="4">
        <v>24428000</v>
      </c>
      <c r="C91" s="4">
        <v>33971000</v>
      </c>
      <c r="D91" s="4">
        <v>86540000</v>
      </c>
      <c r="E91" s="4">
        <v>83968000</v>
      </c>
      <c r="F91" s="5">
        <v>84957000</v>
      </c>
      <c r="G91" s="4">
        <v>60753000</v>
      </c>
      <c r="H91" s="4">
        <v>78214000</v>
      </c>
      <c r="I91" s="4">
        <v>83968000</v>
      </c>
      <c r="J91" s="4">
        <v>84957000</v>
      </c>
    </row>
    <row r="92" spans="1:10" ht="16" x14ac:dyDescent="0.2">
      <c r="A92" s="3" t="s">
        <v>92</v>
      </c>
      <c r="B92" s="4">
        <v>16467000</v>
      </c>
      <c r="C92" s="4">
        <v>19400000</v>
      </c>
      <c r="D92" s="4">
        <v>54705000</v>
      </c>
      <c r="E92" s="4">
        <v>30144000</v>
      </c>
      <c r="F92" s="5">
        <v>29239000</v>
      </c>
      <c r="G92" s="4">
        <v>20430000</v>
      </c>
      <c r="H92" s="4">
        <v>43366000</v>
      </c>
      <c r="I92" s="4">
        <v>30144000</v>
      </c>
      <c r="J92" s="4">
        <v>29239000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7961000</v>
      </c>
      <c r="C95" s="4">
        <v>14571000</v>
      </c>
      <c r="D95" s="4">
        <v>31835000</v>
      </c>
      <c r="E95" s="4">
        <v>53824000</v>
      </c>
      <c r="F95" s="5">
        <v>55718000</v>
      </c>
      <c r="G95" s="4">
        <v>40323000</v>
      </c>
      <c r="H95" s="4">
        <v>34848000</v>
      </c>
      <c r="I95" s="4">
        <v>53824000</v>
      </c>
      <c r="J95" s="4">
        <v>55718000</v>
      </c>
    </row>
    <row r="96" spans="1:10" ht="16" x14ac:dyDescent="0.2">
      <c r="A96" s="3" t="s">
        <v>96</v>
      </c>
      <c r="B96" s="4">
        <v>17532000</v>
      </c>
      <c r="C96" s="4">
        <v>22313000</v>
      </c>
      <c r="D96" s="4">
        <v>21447000</v>
      </c>
      <c r="E96" s="4">
        <v>22047000</v>
      </c>
      <c r="F96" s="5">
        <v>10169000</v>
      </c>
      <c r="G96" s="4">
        <v>21635000</v>
      </c>
      <c r="H96" s="4">
        <v>21701000</v>
      </c>
      <c r="I96" s="4">
        <v>22047000</v>
      </c>
      <c r="J96" s="4">
        <v>10169000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v>17532000</v>
      </c>
      <c r="C98" s="4">
        <v>22313000</v>
      </c>
      <c r="D98" s="4">
        <v>21447000</v>
      </c>
      <c r="E98" s="4">
        <v>22047000</v>
      </c>
      <c r="F98" s="5">
        <v>10169000</v>
      </c>
      <c r="G98" s="4">
        <v>21635000</v>
      </c>
      <c r="H98" s="4">
        <v>21701000</v>
      </c>
      <c r="I98" s="4">
        <v>22047000</v>
      </c>
      <c r="J98" s="4">
        <v>10169000</v>
      </c>
    </row>
    <row r="99" spans="1:10" ht="16" x14ac:dyDescent="0.2">
      <c r="A99" s="3" t="s">
        <v>99</v>
      </c>
      <c r="B99" s="4">
        <v>106291000</v>
      </c>
      <c r="C99" s="4">
        <v>155658000</v>
      </c>
      <c r="D99" s="4">
        <v>230292000</v>
      </c>
      <c r="E99" s="4">
        <v>336143000</v>
      </c>
      <c r="F99" s="5">
        <v>345739000</v>
      </c>
      <c r="G99" s="4">
        <v>259422000</v>
      </c>
      <c r="H99" s="4">
        <v>277931000</v>
      </c>
      <c r="I99" s="4">
        <v>336143000</v>
      </c>
      <c r="J99" s="4">
        <v>345739000</v>
      </c>
    </row>
    <row r="100" spans="1:10" ht="16" x14ac:dyDescent="0.2">
      <c r="A100" s="3" t="s">
        <v>100</v>
      </c>
      <c r="B100" s="4">
        <v>94391000</v>
      </c>
      <c r="C100" s="4">
        <v>143109000</v>
      </c>
      <c r="D100" s="4">
        <v>203185000</v>
      </c>
      <c r="E100" s="4">
        <v>300113000</v>
      </c>
      <c r="F100" s="5">
        <v>319141000</v>
      </c>
      <c r="G100" s="4">
        <v>238969000</v>
      </c>
      <c r="H100" s="4">
        <v>255420000</v>
      </c>
      <c r="I100" s="4">
        <v>300113000</v>
      </c>
      <c r="J100" s="4">
        <v>319141000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11900000</v>
      </c>
      <c r="C103" s="4">
        <v>12549000</v>
      </c>
      <c r="D103" s="4">
        <v>27107000</v>
      </c>
      <c r="E103" s="4">
        <v>36030000</v>
      </c>
      <c r="F103" s="5">
        <v>26598000</v>
      </c>
      <c r="G103" s="4">
        <v>20453000</v>
      </c>
      <c r="H103" s="4">
        <v>22511000</v>
      </c>
      <c r="I103" s="4">
        <v>36030000</v>
      </c>
      <c r="J103" s="4">
        <v>26598000</v>
      </c>
    </row>
    <row r="104" spans="1:10" ht="16" x14ac:dyDescent="0.2">
      <c r="A104" s="3" t="s">
        <v>104</v>
      </c>
      <c r="B104" s="4">
        <v>148251000</v>
      </c>
      <c r="C104" s="4">
        <v>211942000</v>
      </c>
      <c r="D104" s="4">
        <v>338279000</v>
      </c>
      <c r="E104" s="4">
        <v>442158000</v>
      </c>
      <c r="F104" s="5">
        <v>440865000</v>
      </c>
      <c r="G104" s="4">
        <v>341810000</v>
      </c>
      <c r="H104" s="4">
        <v>377846000</v>
      </c>
      <c r="I104" s="4">
        <v>442158000</v>
      </c>
      <c r="J104" s="4">
        <v>440865000</v>
      </c>
    </row>
    <row r="105" spans="1:10" ht="16" x14ac:dyDescent="0.2">
      <c r="A105" s="3" t="s">
        <v>105</v>
      </c>
      <c r="B105" s="4">
        <v>166781000</v>
      </c>
      <c r="C105" s="4">
        <v>150961000</v>
      </c>
      <c r="D105" s="4">
        <v>123513000</v>
      </c>
      <c r="E105" s="4">
        <v>100873000</v>
      </c>
      <c r="F105" s="5">
        <v>95209000</v>
      </c>
      <c r="G105" s="4">
        <v>111967000</v>
      </c>
      <c r="H105" s="4">
        <v>106182000</v>
      </c>
      <c r="I105" s="4">
        <v>100873000</v>
      </c>
      <c r="J105" s="4">
        <v>95209000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166781000</v>
      </c>
      <c r="C107" s="4">
        <v>150961000</v>
      </c>
      <c r="D107" s="4">
        <v>123513000</v>
      </c>
      <c r="E107" s="4">
        <v>100873000</v>
      </c>
      <c r="F107" s="5">
        <v>95209000</v>
      </c>
      <c r="G107" s="4">
        <v>111967000</v>
      </c>
      <c r="H107" s="4">
        <v>106182000</v>
      </c>
      <c r="I107" s="4">
        <v>100873000</v>
      </c>
      <c r="J107" s="4">
        <v>95209000</v>
      </c>
    </row>
    <row r="108" spans="1:10" ht="16" x14ac:dyDescent="0.2">
      <c r="A108" s="3" t="s">
        <v>108</v>
      </c>
      <c r="B108" s="4">
        <v>656940000</v>
      </c>
      <c r="C108" s="4">
        <v>1056533000</v>
      </c>
      <c r="D108" s="4">
        <v>117190000</v>
      </c>
      <c r="E108" s="4">
        <v>135958000</v>
      </c>
      <c r="F108" s="5">
        <v>139877000</v>
      </c>
      <c r="G108" s="4">
        <v>122108000</v>
      </c>
      <c r="H108" s="4">
        <v>126201000</v>
      </c>
      <c r="I108" s="4">
        <v>135958000</v>
      </c>
      <c r="J108" s="4">
        <v>139877000</v>
      </c>
    </row>
    <row r="109" spans="1:10" ht="16" x14ac:dyDescent="0.2">
      <c r="A109" s="3" t="s">
        <v>109</v>
      </c>
      <c r="B109" s="4">
        <v>116679000</v>
      </c>
      <c r="C109" s="4">
        <v>106463000</v>
      </c>
      <c r="D109" s="4">
        <v>110501000</v>
      </c>
      <c r="E109" s="4">
        <v>126452000</v>
      </c>
      <c r="F109" s="5">
        <v>130802000</v>
      </c>
      <c r="G109" s="4">
        <v>115601000</v>
      </c>
      <c r="H109" s="4">
        <v>118823000</v>
      </c>
      <c r="I109" s="4">
        <v>126452000</v>
      </c>
      <c r="J109" s="4">
        <v>130802000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540261000</v>
      </c>
      <c r="C114" s="4">
        <v>950070000</v>
      </c>
      <c r="D114" s="4">
        <v>6689000</v>
      </c>
      <c r="E114" s="4">
        <v>9506000</v>
      </c>
      <c r="F114" s="5">
        <v>9075000</v>
      </c>
      <c r="G114" s="4">
        <v>6507000</v>
      </c>
      <c r="H114" s="4">
        <v>7378000</v>
      </c>
      <c r="I114" s="4">
        <v>9506000</v>
      </c>
      <c r="J114" s="4">
        <v>9075000</v>
      </c>
    </row>
    <row r="115" spans="1:10" ht="16" x14ac:dyDescent="0.2">
      <c r="A115" s="3" t="s">
        <v>112</v>
      </c>
      <c r="B115" s="4">
        <v>823721000</v>
      </c>
      <c r="C115" s="4">
        <v>1207494000</v>
      </c>
      <c r="D115" s="4">
        <v>240703000</v>
      </c>
      <c r="E115" s="4">
        <v>236831000</v>
      </c>
      <c r="F115" s="5">
        <v>235086000</v>
      </c>
      <c r="G115" s="4">
        <v>234075000</v>
      </c>
      <c r="H115" s="4">
        <v>232383000</v>
      </c>
      <c r="I115" s="4">
        <v>236831000</v>
      </c>
      <c r="J115" s="4">
        <v>235086000</v>
      </c>
    </row>
    <row r="116" spans="1:10" ht="16" x14ac:dyDescent="0.2">
      <c r="A116" s="3" t="s">
        <v>113</v>
      </c>
      <c r="B116" s="4">
        <v>971972000</v>
      </c>
      <c r="C116" s="4">
        <v>1419436000</v>
      </c>
      <c r="D116" s="4">
        <v>578982000</v>
      </c>
      <c r="E116" s="4">
        <v>678989000</v>
      </c>
      <c r="F116" s="5">
        <v>675951000</v>
      </c>
      <c r="G116" s="4">
        <v>575885000</v>
      </c>
      <c r="H116" s="4">
        <v>610229000</v>
      </c>
      <c r="I116" s="4">
        <v>678989000</v>
      </c>
      <c r="J116" s="4">
        <v>675951000</v>
      </c>
    </row>
    <row r="117" spans="1:10" ht="16" x14ac:dyDescent="0.2">
      <c r="A117" s="3" t="s">
        <v>114</v>
      </c>
      <c r="B117" s="4">
        <v>539617000</v>
      </c>
      <c r="C117" s="4">
        <v>949067000</v>
      </c>
      <c r="D117" s="4" t="s">
        <v>15</v>
      </c>
      <c r="E117" s="4" t="s">
        <v>15</v>
      </c>
      <c r="F117" s="5" t="s">
        <v>15</v>
      </c>
      <c r="G117" s="4" t="s">
        <v>15</v>
      </c>
      <c r="H117" s="4" t="s">
        <v>15</v>
      </c>
      <c r="I117" s="4" t="s">
        <v>15</v>
      </c>
      <c r="J117" s="4" t="s">
        <v>15</v>
      </c>
    </row>
    <row r="118" spans="1:10" ht="16" x14ac:dyDescent="0.2">
      <c r="A118" s="3" t="s">
        <v>115</v>
      </c>
      <c r="B118" s="4">
        <v>5132000</v>
      </c>
      <c r="C118" s="4">
        <v>33123000</v>
      </c>
      <c r="D118" s="4">
        <v>1909993000</v>
      </c>
      <c r="E118" s="4">
        <v>2107043000</v>
      </c>
      <c r="F118" s="5">
        <v>2160429000</v>
      </c>
      <c r="G118" s="4">
        <v>2009352000</v>
      </c>
      <c r="H118" s="4">
        <v>2055511000</v>
      </c>
      <c r="I118" s="4">
        <v>2107043000</v>
      </c>
      <c r="J118" s="4">
        <v>2160429000</v>
      </c>
    </row>
    <row r="119" spans="1:10" ht="16" x14ac:dyDescent="0.2">
      <c r="A119" s="3" t="s">
        <v>116</v>
      </c>
      <c r="B119" s="4" t="s">
        <v>15</v>
      </c>
      <c r="C119" s="4">
        <v>1000</v>
      </c>
      <c r="D119" s="4">
        <v>29000</v>
      </c>
      <c r="E119" s="4">
        <v>30000</v>
      </c>
      <c r="F119" s="5">
        <v>30000</v>
      </c>
      <c r="G119" s="4">
        <v>29000</v>
      </c>
      <c r="H119" s="4">
        <v>30000</v>
      </c>
      <c r="I119" s="4">
        <v>30000</v>
      </c>
      <c r="J119" s="4">
        <v>30000</v>
      </c>
    </row>
    <row r="120" spans="1:10" ht="16" x14ac:dyDescent="0.2">
      <c r="A120" s="3" t="s">
        <v>117</v>
      </c>
      <c r="B120" s="4">
        <v>5132000</v>
      </c>
      <c r="C120" s="4">
        <v>33122000</v>
      </c>
      <c r="D120" s="4">
        <v>1909964000</v>
      </c>
      <c r="E120" s="4">
        <v>2107013000</v>
      </c>
      <c r="F120" s="5">
        <v>2160399000</v>
      </c>
      <c r="G120" s="4">
        <v>2009323000</v>
      </c>
      <c r="H120" s="4">
        <v>2055481000</v>
      </c>
      <c r="I120" s="4">
        <v>2107013000</v>
      </c>
      <c r="J120" s="4">
        <v>2160399000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-346094000</v>
      </c>
      <c r="C122" s="4">
        <v>-565926000</v>
      </c>
      <c r="D122" s="4">
        <v>-920950000</v>
      </c>
      <c r="E122" s="4">
        <v>-1168372000</v>
      </c>
      <c r="F122" s="5">
        <v>-1236228000</v>
      </c>
      <c r="G122" s="4">
        <v>-1056219000</v>
      </c>
      <c r="H122" s="4">
        <v>-1114774000</v>
      </c>
      <c r="I122" s="4">
        <v>-1168372000</v>
      </c>
      <c r="J122" s="4">
        <v>-1236228000</v>
      </c>
    </row>
    <row r="123" spans="1:10" ht="16" x14ac:dyDescent="0.2">
      <c r="A123" s="3" t="s">
        <v>120</v>
      </c>
      <c r="B123" s="4" t="s">
        <v>15</v>
      </c>
      <c r="C123" s="4" t="s">
        <v>15</v>
      </c>
      <c r="D123" s="4">
        <v>-96000</v>
      </c>
      <c r="E123" s="4">
        <v>-652000</v>
      </c>
      <c r="F123" s="5">
        <v>-1606000</v>
      </c>
      <c r="G123" s="4">
        <v>5000</v>
      </c>
      <c r="H123" s="4">
        <v>-984000</v>
      </c>
      <c r="I123" s="4">
        <v>-652000</v>
      </c>
      <c r="J123" s="4">
        <v>-1606000</v>
      </c>
    </row>
    <row r="124" spans="1:10" ht="16" x14ac:dyDescent="0.2">
      <c r="A124" s="3" t="s">
        <v>121</v>
      </c>
      <c r="B124" s="4">
        <v>-340962000</v>
      </c>
      <c r="C124" s="4">
        <v>-532803000</v>
      </c>
      <c r="D124" s="4">
        <v>988947000</v>
      </c>
      <c r="E124" s="4">
        <v>938019000</v>
      </c>
      <c r="F124" s="5">
        <v>922595000</v>
      </c>
      <c r="G124" s="4">
        <v>953138000</v>
      </c>
      <c r="H124" s="4">
        <v>939753000</v>
      </c>
      <c r="I124" s="4">
        <v>938019000</v>
      </c>
      <c r="J124" s="4">
        <v>922595000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-340962000</v>
      </c>
      <c r="C126" s="4">
        <v>-532803000</v>
      </c>
      <c r="D126" s="4">
        <v>988947000</v>
      </c>
      <c r="E126" s="4">
        <v>938019000</v>
      </c>
      <c r="F126" s="5">
        <v>922595000</v>
      </c>
      <c r="G126" s="4">
        <v>953138000</v>
      </c>
      <c r="H126" s="4">
        <v>939753000</v>
      </c>
      <c r="I126" s="4">
        <v>938019000</v>
      </c>
      <c r="J126" s="4">
        <v>922595000</v>
      </c>
    </row>
    <row r="127" spans="1:10" ht="16" x14ac:dyDescent="0.2">
      <c r="A127" s="3" t="s">
        <v>124</v>
      </c>
      <c r="B127" s="4">
        <v>631010000</v>
      </c>
      <c r="C127" s="4">
        <v>886633000</v>
      </c>
      <c r="D127" s="4">
        <v>1567929000</v>
      </c>
      <c r="E127" s="4">
        <v>1617008000</v>
      </c>
      <c r="F127" s="5">
        <v>1598546000</v>
      </c>
      <c r="G127" s="4">
        <v>1529023000</v>
      </c>
      <c r="H127" s="4">
        <v>1549982000</v>
      </c>
      <c r="I127" s="4">
        <v>1617008000</v>
      </c>
      <c r="J127" s="4">
        <v>1598546000</v>
      </c>
    </row>
    <row r="128" spans="1:10" ht="16" x14ac:dyDescent="0.2">
      <c r="A128" s="31" t="s">
        <v>125</v>
      </c>
      <c r="B128" s="27">
        <v>465573000</v>
      </c>
      <c r="C128" s="27">
        <v>465573000</v>
      </c>
      <c r="D128" s="27">
        <v>154289000</v>
      </c>
      <c r="E128" s="27">
        <v>524160000</v>
      </c>
      <c r="F128" s="28">
        <v>528511000</v>
      </c>
      <c r="G128" s="27">
        <v>514366000</v>
      </c>
      <c r="H128" s="27">
        <v>518873000</v>
      </c>
      <c r="I128" s="27">
        <v>524160000</v>
      </c>
      <c r="J128" s="27">
        <v>528511000</v>
      </c>
    </row>
    <row r="129" spans="1:10" ht="16" x14ac:dyDescent="0.2">
      <c r="A129" s="15" t="s">
        <v>188</v>
      </c>
      <c r="B129" s="10"/>
      <c r="C129" s="20">
        <f>(C128/B128)-1</f>
        <v>0</v>
      </c>
      <c r="D129" s="20">
        <f>(D128/C128)-1</f>
        <v>-0.66860406423912044</v>
      </c>
      <c r="E129" s="20">
        <f>(E128/D128)-1</f>
        <v>2.3972609842568167</v>
      </c>
      <c r="F129" s="20">
        <f t="shared" ref="F129:J129" si="6">(F128/E128)-1</f>
        <v>8.3009004884004867E-3</v>
      </c>
      <c r="G129" s="20">
        <f t="shared" si="6"/>
        <v>-2.6763870572230286E-2</v>
      </c>
      <c r="H129" s="20">
        <f t="shared" si="6"/>
        <v>8.7622432275851203E-3</v>
      </c>
      <c r="I129" s="20">
        <f t="shared" si="6"/>
        <v>1.0189391238318413E-2</v>
      </c>
      <c r="J129" s="20">
        <f t="shared" si="6"/>
        <v>8.3009004884004867E-3</v>
      </c>
    </row>
    <row r="130" spans="1:10" ht="16" x14ac:dyDescent="0.2">
      <c r="A130" s="3" t="s">
        <v>126</v>
      </c>
      <c r="B130" s="4">
        <v>184313000</v>
      </c>
      <c r="C130" s="4">
        <v>173274000</v>
      </c>
      <c r="D130" s="4">
        <v>144960000</v>
      </c>
      <c r="E130" s="4">
        <v>122920000</v>
      </c>
      <c r="F130" s="5">
        <v>105378000</v>
      </c>
      <c r="G130" s="4">
        <v>133602000</v>
      </c>
      <c r="H130" s="4">
        <v>127883000</v>
      </c>
      <c r="I130" s="4">
        <v>122920000</v>
      </c>
      <c r="J130" s="4">
        <v>105378000</v>
      </c>
    </row>
    <row r="131" spans="1:10" ht="16" x14ac:dyDescent="0.2">
      <c r="A131" s="3" t="s">
        <v>127</v>
      </c>
      <c r="B131" s="4">
        <v>-201069000</v>
      </c>
      <c r="C131" s="4">
        <v>-399887000</v>
      </c>
      <c r="D131" s="4">
        <v>-921218000</v>
      </c>
      <c r="E131" s="4">
        <v>-200670000</v>
      </c>
      <c r="F131" s="5">
        <v>-192052000</v>
      </c>
      <c r="G131" s="4">
        <v>-826138000</v>
      </c>
      <c r="H131" s="4">
        <v>-447040000</v>
      </c>
      <c r="I131" s="4">
        <v>-200670000</v>
      </c>
      <c r="J131" s="4">
        <v>-192052000</v>
      </c>
    </row>
    <row r="132" spans="1:10" ht="16" x14ac:dyDescent="0.2">
      <c r="A132" s="3" t="s">
        <v>128</v>
      </c>
      <c r="B132" s="6">
        <v>58.97</v>
      </c>
      <c r="C132" s="6">
        <v>75.05</v>
      </c>
      <c r="D132" s="6">
        <v>-93.15</v>
      </c>
      <c r="E132" s="6">
        <v>-21.39</v>
      </c>
      <c r="F132" s="7">
        <v>-20.82</v>
      </c>
      <c r="G132" s="6">
        <v>-86.68</v>
      </c>
      <c r="H132" s="6">
        <v>-47.57</v>
      </c>
      <c r="I132" s="6">
        <v>-21.39</v>
      </c>
      <c r="J132" s="6">
        <v>-20.82</v>
      </c>
    </row>
    <row r="133" spans="1:10" ht="16" x14ac:dyDescent="0.2">
      <c r="A133" s="3" t="s">
        <v>129</v>
      </c>
      <c r="B133" s="6">
        <v>-139.55000000000001</v>
      </c>
      <c r="C133" s="6">
        <v>-167.13</v>
      </c>
      <c r="D133" s="6">
        <v>63.07</v>
      </c>
      <c r="E133" s="6">
        <v>58.01</v>
      </c>
      <c r="F133" s="7">
        <v>57.71</v>
      </c>
      <c r="G133" s="6">
        <v>62.34</v>
      </c>
      <c r="H133" s="6">
        <v>60.63</v>
      </c>
      <c r="I133" s="6">
        <v>58.01</v>
      </c>
      <c r="J133" s="6">
        <v>57.71</v>
      </c>
    </row>
    <row r="134" spans="1:10" ht="16" x14ac:dyDescent="0.2">
      <c r="A134" s="3" t="s">
        <v>130</v>
      </c>
      <c r="B134" s="6">
        <v>1.87</v>
      </c>
      <c r="C134" s="6">
        <v>2.3199999999999998</v>
      </c>
      <c r="D134" s="6">
        <v>3.25</v>
      </c>
      <c r="E134" s="6">
        <v>2.17</v>
      </c>
      <c r="F134" s="7">
        <v>2.2000000000000002</v>
      </c>
      <c r="G134" s="6">
        <v>3.03</v>
      </c>
      <c r="H134" s="6">
        <v>2.5499999999999998</v>
      </c>
      <c r="I134" s="6">
        <v>2.17</v>
      </c>
      <c r="J134" s="6">
        <v>2.2000000000000002</v>
      </c>
    </row>
    <row r="135" spans="1:10" ht="16" x14ac:dyDescent="0.2">
      <c r="A135" s="3" t="s">
        <v>131</v>
      </c>
      <c r="B135" s="4" t="s">
        <v>15</v>
      </c>
      <c r="C135" s="6">
        <v>38.69</v>
      </c>
      <c r="D135" s="6">
        <v>27.46</v>
      </c>
      <c r="E135" s="6">
        <v>49.44</v>
      </c>
      <c r="F135" s="7">
        <v>48.69</v>
      </c>
      <c r="G135" s="6">
        <v>53.26</v>
      </c>
      <c r="H135" s="6">
        <v>36.72</v>
      </c>
      <c r="I135" s="6">
        <v>49.44</v>
      </c>
      <c r="J135" s="6">
        <v>48.69</v>
      </c>
    </row>
    <row r="136" spans="1:10" ht="16" x14ac:dyDescent="0.2">
      <c r="A136" s="3" t="s">
        <v>132</v>
      </c>
      <c r="B136" s="4" t="s">
        <v>15</v>
      </c>
      <c r="C136" s="4" t="s">
        <v>15</v>
      </c>
      <c r="D136" s="4">
        <v>1616</v>
      </c>
      <c r="E136" s="4">
        <v>2266</v>
      </c>
      <c r="F136" s="5">
        <v>2266</v>
      </c>
      <c r="G136" s="4">
        <v>1616</v>
      </c>
      <c r="H136" s="4">
        <v>1616</v>
      </c>
      <c r="I136" s="4">
        <v>2266</v>
      </c>
      <c r="J136" s="4">
        <v>2266</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-225224000</v>
      </c>
      <c r="C139" s="4">
        <v>-210208000</v>
      </c>
      <c r="D139" s="4">
        <v>-355024000</v>
      </c>
      <c r="E139" s="4">
        <v>-247422000</v>
      </c>
      <c r="F139" s="5">
        <v>-244290000</v>
      </c>
      <c r="G139" s="4">
        <v>-64281000</v>
      </c>
      <c r="H139" s="4">
        <v>-58555000</v>
      </c>
      <c r="I139" s="4">
        <v>-53598000</v>
      </c>
      <c r="J139" s="4">
        <v>-67856000</v>
      </c>
    </row>
    <row r="140" spans="1:10" ht="16" x14ac:dyDescent="0.2">
      <c r="A140" s="3" t="s">
        <v>134</v>
      </c>
      <c r="B140" s="4">
        <v>4320000</v>
      </c>
      <c r="C140" s="4">
        <v>10738000</v>
      </c>
      <c r="D140" s="4">
        <v>10388000</v>
      </c>
      <c r="E140" s="4">
        <v>11768000</v>
      </c>
      <c r="F140" s="5">
        <v>12892000</v>
      </c>
      <c r="G140" s="4">
        <v>2645000</v>
      </c>
      <c r="H140" s="4">
        <v>3345000</v>
      </c>
      <c r="I140" s="4">
        <v>3418000</v>
      </c>
      <c r="J140" s="4">
        <v>3484000</v>
      </c>
    </row>
    <row r="141" spans="1:10" ht="16" x14ac:dyDescent="0.2">
      <c r="A141" s="3" t="s">
        <v>135</v>
      </c>
      <c r="B141" s="4">
        <v>14480000</v>
      </c>
      <c r="C141" s="4">
        <v>42350000</v>
      </c>
      <c r="D141" s="4">
        <v>236885000</v>
      </c>
      <c r="E141" s="4">
        <v>180649000</v>
      </c>
      <c r="F141" s="5">
        <v>180649000</v>
      </c>
      <c r="G141" s="4">
        <v>45105000</v>
      </c>
      <c r="H141" s="4">
        <v>45992000</v>
      </c>
      <c r="I141" s="4">
        <v>42767000</v>
      </c>
      <c r="J141" s="4">
        <v>46785000</v>
      </c>
    </row>
    <row r="142" spans="1:10" ht="16" x14ac:dyDescent="0.2">
      <c r="A142" s="31" t="s">
        <v>136</v>
      </c>
      <c r="B142" s="27">
        <v>2868000</v>
      </c>
      <c r="C142" s="27">
        <v>25564000</v>
      </c>
      <c r="D142" s="27">
        <v>228723000</v>
      </c>
      <c r="E142" s="27">
        <v>177473000</v>
      </c>
      <c r="F142" s="28">
        <v>186809000</v>
      </c>
      <c r="G142" s="27">
        <v>44340000</v>
      </c>
      <c r="H142" s="27">
        <v>45538000</v>
      </c>
      <c r="I142" s="27">
        <v>43983000</v>
      </c>
      <c r="J142" s="27">
        <v>52948000</v>
      </c>
    </row>
    <row r="143" spans="1:10" ht="16" x14ac:dyDescent="0.2">
      <c r="A143" s="12" t="s">
        <v>189</v>
      </c>
      <c r="B143" s="20">
        <f t="shared" ref="B143:J143" si="7">B142/B2</f>
        <v>2.392691778250532E-2</v>
      </c>
      <c r="C143" s="20">
        <f t="shared" si="7"/>
        <v>0.10229487205137952</v>
      </c>
      <c r="D143" s="20">
        <f t="shared" si="7"/>
        <v>0.5339691136817285</v>
      </c>
      <c r="E143" s="20">
        <f t="shared" si="7"/>
        <v>0.27197051544337936</v>
      </c>
      <c r="F143" s="20">
        <f t="shared" si="7"/>
        <v>0.26155666321301557</v>
      </c>
      <c r="G143" s="20">
        <f t="shared" si="7"/>
        <v>0.28881665939305512</v>
      </c>
      <c r="H143" s="20">
        <f t="shared" si="7"/>
        <v>0.26818610129564191</v>
      </c>
      <c r="I143" s="20">
        <f t="shared" si="7"/>
        <v>0.23573645197425191</v>
      </c>
      <c r="J143" s="20">
        <f t="shared" si="7"/>
        <v>0.25914252153484729</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227000</v>
      </c>
      <c r="C145" s="4">
        <v>9447000</v>
      </c>
      <c r="D145" s="4">
        <v>7422000</v>
      </c>
      <c r="E145" s="4" t="s">
        <v>15</v>
      </c>
      <c r="F145" s="5" t="s">
        <v>15</v>
      </c>
      <c r="G145" s="4" t="s">
        <v>15</v>
      </c>
      <c r="H145" s="4" t="s">
        <v>15</v>
      </c>
      <c r="I145" s="4" t="s">
        <v>15</v>
      </c>
      <c r="J145" s="4" t="s">
        <v>15</v>
      </c>
    </row>
    <row r="146" spans="1:10" ht="16" x14ac:dyDescent="0.2">
      <c r="A146" s="3" t="s">
        <v>139</v>
      </c>
      <c r="B146" s="4">
        <v>11385000</v>
      </c>
      <c r="C146" s="4">
        <v>7339000</v>
      </c>
      <c r="D146" s="4">
        <v>740000</v>
      </c>
      <c r="E146" s="4">
        <v>3176000</v>
      </c>
      <c r="F146" s="5">
        <v>-6160000</v>
      </c>
      <c r="G146" s="4">
        <v>765000</v>
      </c>
      <c r="H146" s="4">
        <v>454000</v>
      </c>
      <c r="I146" s="4">
        <v>-1216000</v>
      </c>
      <c r="J146" s="4">
        <v>-6163000</v>
      </c>
    </row>
    <row r="147" spans="1:10" ht="16" x14ac:dyDescent="0.2">
      <c r="A147" s="3" t="s">
        <v>140</v>
      </c>
      <c r="B147" s="4">
        <v>13899000</v>
      </c>
      <c r="C147" s="4">
        <v>-14649000</v>
      </c>
      <c r="D147" s="4">
        <v>-63730000</v>
      </c>
      <c r="E147" s="4">
        <v>-48016000</v>
      </c>
      <c r="F147" s="5">
        <v>6964000</v>
      </c>
      <c r="G147" s="4">
        <v>-20447000</v>
      </c>
      <c r="H147" s="4">
        <v>-3670000</v>
      </c>
      <c r="I147" s="4">
        <v>3040000</v>
      </c>
      <c r="J147" s="4">
        <v>28041000</v>
      </c>
    </row>
    <row r="148" spans="1:10" ht="16" x14ac:dyDescent="0.2">
      <c r="A148" s="3" t="s">
        <v>141</v>
      </c>
      <c r="B148" s="4">
        <v>-10911000</v>
      </c>
      <c r="C148" s="4">
        <v>-14140000</v>
      </c>
      <c r="D148" s="4">
        <v>-47049000</v>
      </c>
      <c r="E148" s="4">
        <v>-47464000</v>
      </c>
      <c r="F148" s="5">
        <v>-21852000</v>
      </c>
      <c r="G148" s="4">
        <v>6427000</v>
      </c>
      <c r="H148" s="4">
        <v>-14934000</v>
      </c>
      <c r="I148" s="4">
        <v>-34167000</v>
      </c>
      <c r="J148" s="4">
        <v>20822000</v>
      </c>
    </row>
    <row r="149" spans="1:10" ht="16" x14ac:dyDescent="0.2">
      <c r="A149" s="3" t="s">
        <v>142</v>
      </c>
      <c r="B149" s="4">
        <v>-7620000</v>
      </c>
      <c r="C149" s="4">
        <v>2843000</v>
      </c>
      <c r="D149" s="4">
        <v>-19393000</v>
      </c>
      <c r="E149" s="4">
        <v>-7504000</v>
      </c>
      <c r="F149" s="5">
        <v>9589000</v>
      </c>
      <c r="G149" s="4">
        <v>2937000</v>
      </c>
      <c r="H149" s="4">
        <v>-5446000</v>
      </c>
      <c r="I149" s="4">
        <v>3930000</v>
      </c>
      <c r="J149" s="4">
        <v>8168000</v>
      </c>
    </row>
    <row r="150" spans="1:10" ht="16" x14ac:dyDescent="0.2">
      <c r="A150" s="3" t="s">
        <v>143</v>
      </c>
      <c r="B150" s="4" t="s">
        <v>15</v>
      </c>
      <c r="C150" s="4">
        <v>1624000</v>
      </c>
      <c r="D150" s="4">
        <v>-1426000</v>
      </c>
      <c r="E150" s="4">
        <v>-11293000</v>
      </c>
      <c r="F150" s="5">
        <v>-9476000</v>
      </c>
      <c r="G150" s="4">
        <v>84000</v>
      </c>
      <c r="H150" s="4">
        <v>-2388000</v>
      </c>
      <c r="I150" s="4">
        <v>-5993000</v>
      </c>
      <c r="J150" s="4">
        <v>-1179000</v>
      </c>
    </row>
    <row r="151" spans="1:10" ht="16" x14ac:dyDescent="0.2">
      <c r="A151" s="3" t="s">
        <v>144</v>
      </c>
      <c r="B151" s="4">
        <v>11560000</v>
      </c>
      <c r="C151" s="4">
        <v>16250000</v>
      </c>
      <c r="D151" s="4">
        <v>69926000</v>
      </c>
      <c r="E151" s="4">
        <v>13485000</v>
      </c>
      <c r="F151" s="5">
        <v>15206000</v>
      </c>
      <c r="G151" s="4">
        <v>-26986000</v>
      </c>
      <c r="H151" s="4">
        <v>27820000</v>
      </c>
      <c r="I151" s="4">
        <v>22883000</v>
      </c>
      <c r="J151" s="4">
        <v>-8511000</v>
      </c>
    </row>
    <row r="152" spans="1:10" ht="16" x14ac:dyDescent="0.2">
      <c r="A152" s="3" t="s">
        <v>145</v>
      </c>
      <c r="B152" s="4">
        <v>20870000</v>
      </c>
      <c r="C152" s="4">
        <v>-21226000</v>
      </c>
      <c r="D152" s="4">
        <v>-65788000</v>
      </c>
      <c r="E152" s="4">
        <v>4760000</v>
      </c>
      <c r="F152" s="5">
        <v>13497000</v>
      </c>
      <c r="G152" s="4">
        <v>-2909000</v>
      </c>
      <c r="H152" s="4">
        <v>-8722000</v>
      </c>
      <c r="I152" s="4">
        <v>16387000</v>
      </c>
      <c r="J152" s="4">
        <v>8741000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-192525000</v>
      </c>
      <c r="C154" s="4">
        <v>-171769000</v>
      </c>
      <c r="D154" s="4">
        <v>-171481000</v>
      </c>
      <c r="E154" s="4">
        <v>-103021000</v>
      </c>
      <c r="F154" s="5">
        <v>-43785000</v>
      </c>
      <c r="G154" s="4">
        <v>-36978000</v>
      </c>
      <c r="H154" s="4">
        <v>-12888000</v>
      </c>
      <c r="I154" s="4">
        <v>-4373000</v>
      </c>
      <c r="J154" s="4">
        <v>10454000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-29990000</v>
      </c>
      <c r="C159" s="4">
        <v>-32102000</v>
      </c>
      <c r="D159" s="4">
        <v>-19353000</v>
      </c>
      <c r="E159" s="4">
        <v>-33240000</v>
      </c>
      <c r="F159" s="5">
        <v>-25071000</v>
      </c>
      <c r="G159" s="4">
        <v>-6262000</v>
      </c>
      <c r="H159" s="4">
        <v>-10307000</v>
      </c>
      <c r="I159" s="4">
        <v>-6003000</v>
      </c>
      <c r="J159" s="4">
        <v>-2499000</v>
      </c>
    </row>
    <row r="160" spans="1:10" ht="16" x14ac:dyDescent="0.2">
      <c r="A160" s="3" t="s">
        <v>153</v>
      </c>
      <c r="B160" s="4">
        <v>-29990000</v>
      </c>
      <c r="C160" s="4">
        <v>-32102000</v>
      </c>
      <c r="D160" s="4">
        <v>-19353000</v>
      </c>
      <c r="E160" s="4">
        <v>-33240000</v>
      </c>
      <c r="F160" s="5">
        <v>-25071000</v>
      </c>
      <c r="G160" s="4">
        <v>-6262000</v>
      </c>
      <c r="H160" s="4">
        <v>-10307000</v>
      </c>
      <c r="I160" s="4">
        <v>-6003000</v>
      </c>
      <c r="J160" s="4">
        <v>-2499000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v>-598990000</v>
      </c>
      <c r="F162" s="5">
        <v>-614220000</v>
      </c>
      <c r="G162" s="4" t="s">
        <v>15</v>
      </c>
      <c r="H162" s="4">
        <v>-355730000</v>
      </c>
      <c r="I162" s="4">
        <v>-243260000</v>
      </c>
      <c r="J162" s="4">
        <v>-15230000</v>
      </c>
    </row>
    <row r="163" spans="1:10" ht="16" x14ac:dyDescent="0.2">
      <c r="A163" s="3" t="s">
        <v>156</v>
      </c>
      <c r="B163" s="4" t="s">
        <v>15</v>
      </c>
      <c r="C163" s="4" t="s">
        <v>15</v>
      </c>
      <c r="D163" s="4" t="s">
        <v>15</v>
      </c>
      <c r="E163" s="4">
        <v>86625000</v>
      </c>
      <c r="F163" s="5">
        <v>263784000</v>
      </c>
      <c r="G163" s="4" t="s">
        <v>15</v>
      </c>
      <c r="H163" s="4" t="s">
        <v>15</v>
      </c>
      <c r="I163" s="4">
        <v>86625000</v>
      </c>
      <c r="J163" s="4">
        <v>177159000</v>
      </c>
    </row>
    <row r="164" spans="1:10" ht="16" x14ac:dyDescent="0.2">
      <c r="A164" s="3" t="s">
        <v>157</v>
      </c>
      <c r="B164" s="4" t="s">
        <v>15</v>
      </c>
      <c r="C164" s="4" t="s">
        <v>15</v>
      </c>
      <c r="D164" s="4" t="s">
        <v>15</v>
      </c>
      <c r="E164" s="4">
        <v>-685615000</v>
      </c>
      <c r="F164" s="5">
        <v>-878004000</v>
      </c>
      <c r="G164" s="4" t="s">
        <v>15</v>
      </c>
      <c r="H164" s="4">
        <v>-355730000</v>
      </c>
      <c r="I164" s="4">
        <v>-329885000</v>
      </c>
      <c r="J164" s="4">
        <v>-192389000</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-100000</v>
      </c>
      <c r="D169" s="4">
        <v>-682000</v>
      </c>
      <c r="E169" s="4">
        <v>382000</v>
      </c>
      <c r="F169" s="5">
        <v>382000</v>
      </c>
      <c r="G169" s="4" t="s">
        <v>15</v>
      </c>
      <c r="H169" s="4">
        <v>432000</v>
      </c>
      <c r="I169" s="4">
        <v>-50000</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-29990000</v>
      </c>
      <c r="C171" s="4">
        <v>-32202000</v>
      </c>
      <c r="D171" s="4">
        <v>-20035000</v>
      </c>
      <c r="E171" s="4">
        <v>-631848000</v>
      </c>
      <c r="F171" s="5">
        <v>-638909000</v>
      </c>
      <c r="G171" s="4">
        <v>-6262000</v>
      </c>
      <c r="H171" s="4">
        <v>-365605000</v>
      </c>
      <c r="I171" s="4">
        <v>-249313000</v>
      </c>
      <c r="J171" s="4">
        <v>-17729000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v>-168000</v>
      </c>
      <c r="D173" s="4">
        <v>-545000</v>
      </c>
      <c r="E173" s="4">
        <v>-1303000</v>
      </c>
      <c r="F173" s="5">
        <v>-1510000</v>
      </c>
      <c r="G173" s="4">
        <v>-246000</v>
      </c>
      <c r="H173" s="4">
        <v>-369000</v>
      </c>
      <c r="I173" s="4">
        <v>-447000</v>
      </c>
      <c r="J173" s="4">
        <v>-448000</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v>-168000</v>
      </c>
      <c r="D175" s="4">
        <v>-545000</v>
      </c>
      <c r="E175" s="4">
        <v>-1303000</v>
      </c>
      <c r="F175" s="5">
        <v>-1510000</v>
      </c>
      <c r="G175" s="4">
        <v>-246000</v>
      </c>
      <c r="H175" s="4">
        <v>-369000</v>
      </c>
      <c r="I175" s="4">
        <v>-447000</v>
      </c>
      <c r="J175" s="4">
        <v>-448000</v>
      </c>
    </row>
    <row r="176" spans="1:10" ht="16" x14ac:dyDescent="0.2">
      <c r="A176" s="3" t="s">
        <v>168</v>
      </c>
      <c r="B176" s="4">
        <v>-30000</v>
      </c>
      <c r="C176" s="4">
        <v>-61000</v>
      </c>
      <c r="D176" s="4">
        <v>846677000</v>
      </c>
      <c r="E176" s="4" t="s">
        <v>15</v>
      </c>
      <c r="F176" s="5">
        <v>164000</v>
      </c>
      <c r="G176" s="4" t="s">
        <v>15</v>
      </c>
      <c r="H176" s="4">
        <v>164000</v>
      </c>
      <c r="I176" s="4" t="s">
        <v>15</v>
      </c>
      <c r="J176" s="4" t="s">
        <v>15</v>
      </c>
    </row>
    <row r="177" spans="1:10" ht="16" x14ac:dyDescent="0.2">
      <c r="A177" s="3" t="s">
        <v>169</v>
      </c>
      <c r="B177" s="4" t="s">
        <v>15</v>
      </c>
      <c r="C177" s="4" t="s">
        <v>15</v>
      </c>
      <c r="D177" s="4">
        <v>846682000</v>
      </c>
      <c r="E177" s="4" t="s">
        <v>15</v>
      </c>
      <c r="F177" s="5">
        <v>164000</v>
      </c>
      <c r="G177" s="4" t="s">
        <v>15</v>
      </c>
      <c r="H177" s="4">
        <v>164000</v>
      </c>
      <c r="I177" s="4" t="s">
        <v>15</v>
      </c>
      <c r="J177" s="4" t="s">
        <v>15</v>
      </c>
    </row>
    <row r="178" spans="1:10" ht="16" x14ac:dyDescent="0.2">
      <c r="A178" s="3" t="s">
        <v>170</v>
      </c>
      <c r="B178" s="4">
        <v>-30000</v>
      </c>
      <c r="C178" s="4">
        <v>-61000</v>
      </c>
      <c r="D178" s="4">
        <v>-5000</v>
      </c>
      <c r="E178" s="4" t="s">
        <v>15</v>
      </c>
      <c r="F178" s="5" t="s">
        <v>15</v>
      </c>
      <c r="G178" s="4" t="s">
        <v>15</v>
      </c>
      <c r="H178" s="4" t="s">
        <v>15</v>
      </c>
      <c r="I178" s="4" t="s">
        <v>15</v>
      </c>
      <c r="J178" s="4" t="s">
        <v>15</v>
      </c>
    </row>
    <row r="179" spans="1:10" ht="16" x14ac:dyDescent="0.2">
      <c r="A179" s="3" t="s">
        <v>171</v>
      </c>
      <c r="B179" s="4">
        <v>295883000</v>
      </c>
      <c r="C179" s="4">
        <v>402203000</v>
      </c>
      <c r="D179" s="4">
        <v>-144488000</v>
      </c>
      <c r="E179" s="4">
        <v>15515000</v>
      </c>
      <c r="F179" s="5">
        <v>17003000</v>
      </c>
      <c r="G179" s="4">
        <v>9989000</v>
      </c>
      <c r="H179" s="4">
        <v>-324000</v>
      </c>
      <c r="I179" s="4">
        <v>7179000</v>
      </c>
      <c r="J179" s="4">
        <v>159000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295853000</v>
      </c>
      <c r="C181" s="4">
        <v>401974000</v>
      </c>
      <c r="D181" s="4">
        <v>701644000</v>
      </c>
      <c r="E181" s="4">
        <v>14212000</v>
      </c>
      <c r="F181" s="5">
        <v>15657000</v>
      </c>
      <c r="G181" s="4">
        <v>9743000</v>
      </c>
      <c r="H181" s="4">
        <v>-529000</v>
      </c>
      <c r="I181" s="4">
        <v>6732000</v>
      </c>
      <c r="J181" s="4">
        <v>-289000</v>
      </c>
    </row>
    <row r="182" spans="1:10" ht="16" x14ac:dyDescent="0.2">
      <c r="A182" s="3" t="s">
        <v>173</v>
      </c>
      <c r="B182" s="4" t="s">
        <v>15</v>
      </c>
      <c r="C182" s="4" t="s">
        <v>15</v>
      </c>
      <c r="D182" s="4">
        <v>-127000</v>
      </c>
      <c r="E182" s="4">
        <v>113000</v>
      </c>
      <c r="F182" s="5">
        <v>450000</v>
      </c>
      <c r="G182" s="4">
        <v>-205000</v>
      </c>
      <c r="H182" s="4">
        <v>-75000</v>
      </c>
      <c r="I182" s="4">
        <v>584000</v>
      </c>
      <c r="J182" s="4">
        <v>146000</v>
      </c>
    </row>
    <row r="183" spans="1:10" ht="16" x14ac:dyDescent="0.2">
      <c r="A183" s="3" t="s">
        <v>174</v>
      </c>
      <c r="B183" s="4">
        <v>73338000</v>
      </c>
      <c r="C183" s="4">
        <v>198003000</v>
      </c>
      <c r="D183" s="4">
        <v>510128000</v>
      </c>
      <c r="E183" s="4">
        <v>-720657000</v>
      </c>
      <c r="F183" s="5">
        <v>-667037000</v>
      </c>
      <c r="G183" s="4">
        <v>-33497000</v>
      </c>
      <c r="H183" s="4">
        <v>-379022000</v>
      </c>
      <c r="I183" s="4">
        <v>-246954000</v>
      </c>
      <c r="J183" s="4">
        <v>-7564000</v>
      </c>
    </row>
    <row r="184" spans="1:10" ht="16" x14ac:dyDescent="0.2">
      <c r="A184" s="3" t="s">
        <v>45</v>
      </c>
      <c r="B184" s="4">
        <v>-223498000</v>
      </c>
      <c r="C184" s="4">
        <v>-191973000</v>
      </c>
      <c r="D184" s="4">
        <v>-341928000</v>
      </c>
      <c r="E184" s="4">
        <v>-246631000</v>
      </c>
      <c r="F184" s="5">
        <v>-252182000</v>
      </c>
      <c r="G184" s="4">
        <v>-63137000</v>
      </c>
      <c r="H184" s="4">
        <v>-60131000</v>
      </c>
      <c r="I184" s="4">
        <v>-56574000</v>
      </c>
      <c r="J184" s="4">
        <v>-72340000</v>
      </c>
    </row>
    <row r="185" spans="1:10" ht="16" x14ac:dyDescent="0.2">
      <c r="A185" s="3" t="s">
        <v>46</v>
      </c>
      <c r="B185" s="6">
        <v>-186.46</v>
      </c>
      <c r="C185" s="6">
        <v>-76.819999999999993</v>
      </c>
      <c r="D185" s="6">
        <v>-79.83</v>
      </c>
      <c r="E185" s="6">
        <v>-37.799999999999997</v>
      </c>
      <c r="F185" s="7">
        <v>-35.31</v>
      </c>
      <c r="G185" s="6">
        <v>-76.03</v>
      </c>
      <c r="H185" s="6">
        <v>-74.3</v>
      </c>
      <c r="I185" s="6">
        <v>-37.799999999999997</v>
      </c>
      <c r="J185" s="6">
        <v>-35.31</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-222515000</v>
      </c>
      <c r="C187" s="4">
        <v>-203871000</v>
      </c>
      <c r="D187" s="4">
        <v>-190834000</v>
      </c>
      <c r="E187" s="4">
        <v>-136261000</v>
      </c>
      <c r="F187" s="5">
        <v>-68856000</v>
      </c>
      <c r="G187" s="4">
        <v>-43240000</v>
      </c>
      <c r="H187" s="4">
        <v>-23195000</v>
      </c>
      <c r="I187" s="4">
        <v>-10376000</v>
      </c>
      <c r="J187" s="4">
        <v>7955000</v>
      </c>
    </row>
    <row r="188" spans="1:10" ht="16" x14ac:dyDescent="0.2">
      <c r="A188" s="31" t="s">
        <v>177</v>
      </c>
      <c r="B188" s="27">
        <v>-222515000</v>
      </c>
      <c r="C188" s="27">
        <v>-203871000</v>
      </c>
      <c r="D188" s="27">
        <v>-190834000</v>
      </c>
      <c r="E188" s="27">
        <v>-136261000</v>
      </c>
      <c r="F188" s="28">
        <v>-68856000</v>
      </c>
      <c r="G188" s="27">
        <v>-43240000</v>
      </c>
      <c r="H188" s="27">
        <v>-23195000</v>
      </c>
      <c r="I188" s="27">
        <v>-10376000</v>
      </c>
      <c r="J188" s="27">
        <v>7955000</v>
      </c>
    </row>
    <row r="189" spans="1:10" ht="16" x14ac:dyDescent="0.2">
      <c r="A189" s="21" t="s">
        <v>190</v>
      </c>
      <c r="B189" s="22"/>
      <c r="C189" s="23">
        <f>(C188/B188)-1</f>
        <v>-8.3787609824056752E-2</v>
      </c>
      <c r="D189" s="23">
        <f>(D188/C188)-1</f>
        <v>-6.3947300008338592E-2</v>
      </c>
      <c r="E189" s="23">
        <f>(E188/D188)-1</f>
        <v>-0.28597105337623274</v>
      </c>
      <c r="F189" s="23">
        <f t="shared" ref="F189" si="8">(F188/E188)-1</f>
        <v>-0.49467565921283418</v>
      </c>
      <c r="G189" s="23"/>
      <c r="H189" s="23">
        <f t="shared" ref="H189:J189" si="9">(H188/G188)-1</f>
        <v>-0.46357539315448659</v>
      </c>
      <c r="I189" s="23">
        <f t="shared" si="9"/>
        <v>-0.55266221168355245</v>
      </c>
      <c r="J189" s="23">
        <f t="shared" si="9"/>
        <v>-1.7666730917501927</v>
      </c>
    </row>
    <row r="190" spans="1:10" ht="16" x14ac:dyDescent="0.2">
      <c r="A190" s="24" t="s">
        <v>191</v>
      </c>
      <c r="B190" s="25">
        <f t="shared" ref="B190:J190" si="10">B188/B2</f>
        <v>-1.8563800942727235</v>
      </c>
      <c r="C190" s="25">
        <f t="shared" si="10"/>
        <v>-0.81579400172065386</v>
      </c>
      <c r="D190" s="25">
        <f t="shared" si="10"/>
        <v>-0.44551471360702238</v>
      </c>
      <c r="E190" s="25">
        <f t="shared" si="10"/>
        <v>-0.20881471775892851</v>
      </c>
      <c r="F190" s="25">
        <f t="shared" si="10"/>
        <v>-9.6407269468791135E-2</v>
      </c>
      <c r="G190" s="25">
        <f t="shared" si="10"/>
        <v>-0.28165160920513538</v>
      </c>
      <c r="H190" s="25">
        <f t="shared" si="10"/>
        <v>-0.13660188457008246</v>
      </c>
      <c r="I190" s="25">
        <f t="shared" si="10"/>
        <v>-5.5612428112789894E-2</v>
      </c>
      <c r="J190" s="25">
        <f t="shared" si="10"/>
        <v>3.8934025058731399E-2</v>
      </c>
    </row>
    <row r="191" spans="1:10" ht="16" x14ac:dyDescent="0.2">
      <c r="A191" s="3" t="s">
        <v>178</v>
      </c>
      <c r="B191" s="4" t="s">
        <v>15</v>
      </c>
      <c r="C191" s="4">
        <v>195787000</v>
      </c>
      <c r="D191" s="4">
        <v>-1140446000</v>
      </c>
      <c r="E191" s="4">
        <v>-137564000</v>
      </c>
      <c r="F191" s="5">
        <v>-70366000</v>
      </c>
      <c r="G191" s="4">
        <v>-43486000</v>
      </c>
      <c r="H191" s="4">
        <v>-23564000</v>
      </c>
      <c r="I191" s="4">
        <v>-10823000</v>
      </c>
      <c r="J191" s="4">
        <v>7507000</v>
      </c>
    </row>
    <row r="192" spans="1:10" ht="16" x14ac:dyDescent="0.2">
      <c r="A192" s="3" t="s">
        <v>179</v>
      </c>
      <c r="B192" s="6">
        <v>-0.48</v>
      </c>
      <c r="C192" s="6">
        <v>-0.44</v>
      </c>
      <c r="D192" s="6">
        <v>-0.69</v>
      </c>
      <c r="E192" s="6">
        <v>-0.26</v>
      </c>
      <c r="F192" s="7">
        <v>-0.13</v>
      </c>
      <c r="G192" s="6">
        <v>-0.08</v>
      </c>
      <c r="H192" s="6">
        <v>-0.04</v>
      </c>
      <c r="I192" s="6">
        <v>-0.02</v>
      </c>
      <c r="J192" s="6">
        <v>0.02</v>
      </c>
    </row>
    <row r="193" spans="1:10" ht="16" x14ac:dyDescent="0.2">
      <c r="A193" s="3" t="s">
        <v>180</v>
      </c>
      <c r="B193" s="4" t="s">
        <v>15</v>
      </c>
      <c r="C193" s="4" t="s">
        <v>15</v>
      </c>
      <c r="D193" s="6">
        <v>-33.020000000000003</v>
      </c>
      <c r="E193" s="6">
        <v>-100.53</v>
      </c>
      <c r="F193" s="7">
        <v>-500.64</v>
      </c>
      <c r="G193" s="6">
        <v>-40.61</v>
      </c>
      <c r="H193" s="6">
        <v>-43.44</v>
      </c>
      <c r="I193" s="6">
        <v>-87.2</v>
      </c>
      <c r="J193" s="6">
        <v>-375.12</v>
      </c>
    </row>
    <row r="194" spans="1:10" ht="16" x14ac:dyDescent="0.2">
      <c r="A194" s="3" t="s">
        <v>181</v>
      </c>
      <c r="B194" s="6">
        <v>0.85</v>
      </c>
      <c r="C194" s="6">
        <v>0.82</v>
      </c>
      <c r="D194" s="6">
        <v>0.48</v>
      </c>
      <c r="E194" s="6">
        <v>0.42</v>
      </c>
      <c r="F194" s="7">
        <v>0.18</v>
      </c>
      <c r="G194" s="6">
        <v>0.57999999999999996</v>
      </c>
      <c r="H194" s="6">
        <v>0.22</v>
      </c>
      <c r="I194" s="6">
        <v>0.08</v>
      </c>
      <c r="J194" s="6">
        <v>-0.15</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C3676-CB81-C04F-BF76-B6660A52C1EC}">
  <dimension ref="A1:R110"/>
  <sheetViews>
    <sheetView tabSelected="1" workbookViewId="0">
      <selection activeCell="H20" sqref="H20"/>
    </sheetView>
  </sheetViews>
  <sheetFormatPr baseColWidth="10" defaultRowHeight="15" x14ac:dyDescent="0.2"/>
  <cols>
    <col min="1" max="18" width="18.83203125" customWidth="1"/>
  </cols>
  <sheetData>
    <row r="1" spans="1:18" s="111" customFormat="1" ht="22" customHeight="1" x14ac:dyDescent="0.2">
      <c r="A1" s="111" t="e" vm="1">
        <v>#VALUE!</v>
      </c>
    </row>
    <row r="2" spans="1:18" s="111" customFormat="1" ht="22" customHeight="1" thickBot="1" x14ac:dyDescent="0.25"/>
    <row r="3" spans="1:18" ht="22" customHeight="1" x14ac:dyDescent="0.2">
      <c r="A3" s="32" cm="1">
        <f t="array" ref="A3">_FV(A1,"Market cap",TRUE)</f>
        <v>18503990000</v>
      </c>
      <c r="B3" s="33" t="s">
        <v>192</v>
      </c>
      <c r="C3" s="34">
        <f>Financials!F8*0.01</f>
        <v>0.71909999999999996</v>
      </c>
      <c r="D3" s="33" t="s">
        <v>193</v>
      </c>
      <c r="E3" s="34">
        <f>SUM(C11:E11)/3</f>
        <v>0.77410945494893835</v>
      </c>
      <c r="F3" s="35" t="s">
        <v>194</v>
      </c>
      <c r="G3" s="36">
        <f>Financials!F129</f>
        <v>8.3009004884004867E-3</v>
      </c>
      <c r="H3" s="35" t="s">
        <v>195</v>
      </c>
      <c r="I3" s="37">
        <f>J15*(1+I7)/(I6-I7)</f>
        <v>5894766000.593749</v>
      </c>
      <c r="J3" s="38" t="s">
        <v>196</v>
      </c>
      <c r="K3" s="39">
        <f>(Financials!F172*-1)/Model!A3</f>
        <v>0</v>
      </c>
      <c r="L3" s="40" t="s">
        <v>197</v>
      </c>
      <c r="M3" s="41"/>
      <c r="N3" s="112" t="s">
        <v>198</v>
      </c>
      <c r="O3" s="113"/>
      <c r="P3" s="41"/>
      <c r="Q3" s="41"/>
      <c r="R3" s="41"/>
    </row>
    <row r="4" spans="1:18" ht="22" customHeight="1" x14ac:dyDescent="0.2">
      <c r="A4" s="42">
        <f>Financials!F56-Financials!F96-Financials!F105</f>
        <v>620605000</v>
      </c>
      <c r="B4" s="43" t="s">
        <v>199</v>
      </c>
      <c r="C4" s="44">
        <f>Financials!F17*0.01</f>
        <v>-0.37109999999999999</v>
      </c>
      <c r="D4" s="43" t="s">
        <v>200</v>
      </c>
      <c r="E4" s="44">
        <f>SUM(C13:E13)/3</f>
        <v>0.10638750186680206</v>
      </c>
      <c r="F4" s="45" t="s">
        <v>201</v>
      </c>
      <c r="G4" s="46">
        <f>A5*(1+(5*G3))</f>
        <v>557155020.74080431</v>
      </c>
      <c r="H4" s="45" t="s">
        <v>202</v>
      </c>
      <c r="I4" s="47">
        <f>NPV(I6,F15,G15,H15,I15,(J15+I3))</f>
        <v>4181480377.6075869</v>
      </c>
      <c r="J4" s="45" t="s">
        <v>203</v>
      </c>
      <c r="K4" s="48" cm="1">
        <f t="array" ref="K4">_FV(A1,"Change (%)",TRUE)</f>
        <v>0.25599100000000002</v>
      </c>
      <c r="L4" s="49" t="s">
        <v>204</v>
      </c>
      <c r="M4" s="41"/>
      <c r="N4" s="114" t="s">
        <v>205</v>
      </c>
      <c r="O4" s="115"/>
      <c r="P4" s="41"/>
      <c r="Q4" s="41"/>
      <c r="R4" s="41"/>
    </row>
    <row r="5" spans="1:18" ht="22" customHeight="1" x14ac:dyDescent="0.2">
      <c r="A5" s="42" cm="1">
        <f t="array" ref="A5">_FV(A1,"Shares outstanding",TRUE)</f>
        <v>534952100</v>
      </c>
      <c r="B5" s="43" t="s">
        <v>206</v>
      </c>
      <c r="C5" s="44">
        <f>F14</f>
        <v>3.888888888888889E-2</v>
      </c>
      <c r="D5" s="50" t="s">
        <v>207</v>
      </c>
      <c r="E5" s="44">
        <f>SUM(C16:E16)/3</f>
        <v>-0.14456865440287603</v>
      </c>
      <c r="F5" s="45" t="s">
        <v>208</v>
      </c>
      <c r="G5" s="46">
        <f>Financials!F56</f>
        <v>725983000</v>
      </c>
      <c r="H5" s="45" t="s">
        <v>209</v>
      </c>
      <c r="I5" s="47">
        <f>I4+G5-G6</f>
        <v>4802085377.6075869</v>
      </c>
      <c r="J5" s="45" t="s">
        <v>210</v>
      </c>
      <c r="K5" s="51" cm="1">
        <f t="array" ref="K5">_FV(A1,"Price")</f>
        <v>34.590000000000003</v>
      </c>
      <c r="L5" s="52" t="s">
        <v>211</v>
      </c>
      <c r="M5" s="41"/>
      <c r="N5" s="53" t="s">
        <v>212</v>
      </c>
      <c r="O5" s="54">
        <f>Financials!F20</f>
        <v>-15680000</v>
      </c>
      <c r="P5" s="41"/>
      <c r="Q5" s="41"/>
      <c r="R5" s="41"/>
    </row>
    <row r="6" spans="1:18" ht="22" customHeight="1" x14ac:dyDescent="0.2">
      <c r="A6" s="55">
        <f>O20/F10</f>
        <v>20.559988888888888</v>
      </c>
      <c r="B6" s="43" t="s">
        <v>213</v>
      </c>
      <c r="C6" s="44">
        <f>F17</f>
        <v>6.1111111111111109E-2</v>
      </c>
      <c r="D6" s="50" t="s">
        <v>191</v>
      </c>
      <c r="E6" s="44">
        <f>Financials!F33/Financials!F126</f>
        <v>-0.26478574022187418</v>
      </c>
      <c r="F6" s="43" t="s">
        <v>214</v>
      </c>
      <c r="G6" s="46">
        <f>Financials!F96+Financials!F105</f>
        <v>105378000</v>
      </c>
      <c r="H6" s="45" t="s">
        <v>215</v>
      </c>
      <c r="I6" s="48">
        <f>N25</f>
        <v>0.11194153422686812</v>
      </c>
      <c r="J6" s="45" t="s">
        <v>216</v>
      </c>
      <c r="K6" s="56">
        <f>I5/G4</f>
        <v>8.61893943129623</v>
      </c>
      <c r="L6" s="57" t="s">
        <v>217</v>
      </c>
      <c r="M6" s="41"/>
      <c r="N6" s="53" t="s">
        <v>218</v>
      </c>
      <c r="O6" s="54">
        <f>Financials!F96</f>
        <v>10169000</v>
      </c>
      <c r="P6" s="41"/>
      <c r="Q6" s="41"/>
      <c r="R6" s="41"/>
    </row>
    <row r="7" spans="1:18" ht="22" customHeight="1" thickBot="1" x14ac:dyDescent="0.25">
      <c r="A7" s="58">
        <f>O20/F12</f>
        <v>528.68542857142859</v>
      </c>
      <c r="B7" s="59" t="s">
        <v>219</v>
      </c>
      <c r="C7" s="60">
        <f>F15/A3</f>
        <v>2.9723319132792443E-3</v>
      </c>
      <c r="D7" s="59" t="s">
        <v>220</v>
      </c>
      <c r="E7" s="61">
        <f>(Financials!F16*(1-0.25))/(Financials!F126+Financials!F105+Financials!F96)</f>
        <v>-0.19339564365990158</v>
      </c>
      <c r="F7" s="59" t="s">
        <v>187</v>
      </c>
      <c r="G7" s="62">
        <f>(Financials!F96+Financials!F105)/Financials!F126</f>
        <v>0.11421913190511546</v>
      </c>
      <c r="H7" s="63" t="s">
        <v>221</v>
      </c>
      <c r="I7" s="64">
        <v>2.5000000000000001E-2</v>
      </c>
      <c r="J7" s="65" t="s">
        <v>222</v>
      </c>
      <c r="K7" s="66">
        <f>K6/K5-1</f>
        <v>-0.75082568860086063</v>
      </c>
      <c r="L7" s="67" t="s">
        <v>223</v>
      </c>
      <c r="M7" s="41"/>
      <c r="N7" s="53" t="s">
        <v>224</v>
      </c>
      <c r="O7" s="54">
        <f>Financials!F105</f>
        <v>95209000</v>
      </c>
      <c r="P7" s="41"/>
      <c r="Q7" s="41"/>
      <c r="R7" s="41"/>
    </row>
    <row r="8" spans="1:18" ht="22" customHeight="1" x14ac:dyDescent="0.2">
      <c r="A8" s="68"/>
      <c r="B8" s="41"/>
      <c r="C8" s="41"/>
      <c r="D8" s="41"/>
      <c r="E8" s="41"/>
      <c r="F8" s="41"/>
      <c r="G8" s="41"/>
      <c r="H8" s="41"/>
      <c r="I8" s="41"/>
      <c r="J8" s="69"/>
      <c r="K8" s="69"/>
      <c r="L8" s="69"/>
      <c r="M8" s="41"/>
      <c r="N8" s="70" t="s">
        <v>205</v>
      </c>
      <c r="O8" s="71">
        <f>O5/(O6+O7)</f>
        <v>-0.14879766175102963</v>
      </c>
      <c r="P8" s="41"/>
      <c r="Q8" s="41"/>
      <c r="R8" s="41"/>
    </row>
    <row r="9" spans="1:18" ht="22" customHeight="1" x14ac:dyDescent="0.2">
      <c r="A9" s="72"/>
      <c r="B9" s="73">
        <v>2020</v>
      </c>
      <c r="C9" s="73">
        <v>2021</v>
      </c>
      <c r="D9" s="73">
        <v>2022</v>
      </c>
      <c r="E9" s="74">
        <v>2023</v>
      </c>
      <c r="F9" s="75">
        <v>2024</v>
      </c>
      <c r="G9" s="76">
        <v>2025</v>
      </c>
      <c r="H9" s="76">
        <v>2026</v>
      </c>
      <c r="I9" s="76">
        <v>2027</v>
      </c>
      <c r="J9" s="77">
        <v>2028</v>
      </c>
      <c r="K9" s="69"/>
      <c r="L9" s="69"/>
      <c r="M9" s="69"/>
      <c r="N9" s="53" t="s">
        <v>225</v>
      </c>
      <c r="O9" s="54">
        <f>Financials!F25</f>
        <v>3791000</v>
      </c>
      <c r="P9" s="41"/>
      <c r="Q9" s="41"/>
      <c r="R9" s="41"/>
    </row>
    <row r="10" spans="1:18" ht="22" customHeight="1" x14ac:dyDescent="0.2">
      <c r="A10" s="78" t="s">
        <v>226</v>
      </c>
      <c r="B10" s="79">
        <v>119865000</v>
      </c>
      <c r="C10" s="79">
        <v>249905000</v>
      </c>
      <c r="D10" s="79">
        <v>428345000</v>
      </c>
      <c r="E10" s="80">
        <v>652545000</v>
      </c>
      <c r="F10" s="79">
        <v>900000000</v>
      </c>
      <c r="G10" s="79">
        <v>1143000000</v>
      </c>
      <c r="H10" s="79">
        <v>1444000000</v>
      </c>
      <c r="I10" s="79">
        <v>1746000000</v>
      </c>
      <c r="J10" s="80">
        <v>2153000000</v>
      </c>
      <c r="K10" s="81" t="s">
        <v>227</v>
      </c>
      <c r="L10" s="69"/>
      <c r="N10" s="53" t="s">
        <v>228</v>
      </c>
      <c r="O10" s="54">
        <f>Financials!F24</f>
        <v>-240499000</v>
      </c>
      <c r="P10" s="41"/>
      <c r="Q10" s="41"/>
      <c r="R10" s="41"/>
    </row>
    <row r="11" spans="1:18" ht="22" customHeight="1" x14ac:dyDescent="0.2">
      <c r="A11" s="82"/>
      <c r="B11" s="83"/>
      <c r="C11" s="83">
        <f t="shared" ref="C11:J11" si="0">(C10/B10)-1</f>
        <v>1.0848871647269847</v>
      </c>
      <c r="D11" s="83">
        <f t="shared" si="0"/>
        <v>0.71403133190612422</v>
      </c>
      <c r="E11" s="83">
        <f t="shared" si="0"/>
        <v>0.52340986821370628</v>
      </c>
      <c r="F11" s="84">
        <f t="shared" si="0"/>
        <v>0.37921522653610107</v>
      </c>
      <c r="G11" s="83">
        <f t="shared" si="0"/>
        <v>0.27</v>
      </c>
      <c r="H11" s="83">
        <f t="shared" si="0"/>
        <v>0.26334208223972011</v>
      </c>
      <c r="I11" s="83">
        <f t="shared" si="0"/>
        <v>0.20914127423822704</v>
      </c>
      <c r="J11" s="85">
        <f t="shared" si="0"/>
        <v>0.23310423825887749</v>
      </c>
      <c r="K11" s="85">
        <f>SUM(F11:J11)/5</f>
        <v>0.27096056425458515</v>
      </c>
      <c r="L11" s="69"/>
      <c r="M11" s="69"/>
      <c r="N11" s="53" t="s">
        <v>229</v>
      </c>
      <c r="O11" s="86">
        <f>O9/O10</f>
        <v>-1.5763059305859899E-2</v>
      </c>
      <c r="P11" s="41"/>
      <c r="Q11" s="41"/>
      <c r="R11" s="41"/>
    </row>
    <row r="12" spans="1:18" ht="22" customHeight="1" x14ac:dyDescent="0.2">
      <c r="A12" s="78" t="s">
        <v>133</v>
      </c>
      <c r="B12" s="79">
        <v>-225224000</v>
      </c>
      <c r="C12" s="79">
        <v>-210208000</v>
      </c>
      <c r="D12" s="79">
        <v>-355024000</v>
      </c>
      <c r="E12" s="79">
        <v>-247422000</v>
      </c>
      <c r="F12" s="87">
        <v>35000000</v>
      </c>
      <c r="G12" s="79">
        <v>40000000</v>
      </c>
      <c r="H12" s="79">
        <v>101000000</v>
      </c>
      <c r="I12" s="79">
        <v>254000000</v>
      </c>
      <c r="J12" s="80">
        <v>475000000</v>
      </c>
      <c r="K12" s="88" t="s">
        <v>230</v>
      </c>
      <c r="L12" s="69"/>
      <c r="M12" s="69"/>
      <c r="N12" s="53" t="s">
        <v>231</v>
      </c>
      <c r="O12" s="86">
        <f>O8*(1-O11)</f>
        <v>-0.15114316811778439</v>
      </c>
      <c r="P12" s="41"/>
      <c r="Q12" s="41"/>
      <c r="R12" s="41"/>
    </row>
    <row r="13" spans="1:18" ht="22" customHeight="1" x14ac:dyDescent="0.2">
      <c r="A13" s="82"/>
      <c r="B13" s="83"/>
      <c r="C13" s="83">
        <f t="shared" ref="C13:J13" si="1">(C12/B12)-1</f>
        <v>-6.6671402692430659E-2</v>
      </c>
      <c r="D13" s="83">
        <f t="shared" si="1"/>
        <v>0.68891764347693707</v>
      </c>
      <c r="E13" s="83">
        <f t="shared" si="1"/>
        <v>-0.30308373518410026</v>
      </c>
      <c r="F13" s="84">
        <f t="shared" si="1"/>
        <v>-1.1414587223448198</v>
      </c>
      <c r="G13" s="83">
        <f t="shared" si="1"/>
        <v>0.14285714285714279</v>
      </c>
      <c r="H13" s="83">
        <f t="shared" si="1"/>
        <v>1.5249999999999999</v>
      </c>
      <c r="I13" s="83">
        <f t="shared" si="1"/>
        <v>1.5148514851485149</v>
      </c>
      <c r="J13" s="85">
        <f t="shared" si="1"/>
        <v>0.87007874015748032</v>
      </c>
      <c r="K13" s="85">
        <f>SUM(F13:J13)/5</f>
        <v>0.58226572916366359</v>
      </c>
      <c r="L13" s="69"/>
      <c r="M13" s="69"/>
      <c r="N13" s="114" t="s">
        <v>232</v>
      </c>
      <c r="O13" s="115"/>
      <c r="P13" s="41"/>
      <c r="Q13" s="41"/>
      <c r="R13" s="41"/>
    </row>
    <row r="14" spans="1:18" ht="22" customHeight="1" x14ac:dyDescent="0.2">
      <c r="A14" s="89" t="s">
        <v>233</v>
      </c>
      <c r="B14" s="90">
        <f>B12/B10</f>
        <v>-1.8789805197513869</v>
      </c>
      <c r="C14" s="90">
        <f t="shared" ref="C14:J14" si="2">C12/C10</f>
        <v>-0.8411516376222965</v>
      </c>
      <c r="D14" s="90">
        <f t="shared" si="2"/>
        <v>-0.82882723038672101</v>
      </c>
      <c r="E14" s="90">
        <f t="shared" si="2"/>
        <v>-0.37916465531112797</v>
      </c>
      <c r="F14" s="91">
        <f t="shared" si="2"/>
        <v>3.888888888888889E-2</v>
      </c>
      <c r="G14" s="90">
        <f t="shared" si="2"/>
        <v>3.4995625546806651E-2</v>
      </c>
      <c r="H14" s="90">
        <f t="shared" si="2"/>
        <v>6.9944598337950137E-2</v>
      </c>
      <c r="I14" s="90">
        <f t="shared" si="2"/>
        <v>0.145475372279496</v>
      </c>
      <c r="J14" s="92">
        <f t="shared" si="2"/>
        <v>0.22062238736646539</v>
      </c>
      <c r="K14" s="92"/>
      <c r="L14" s="69"/>
      <c r="M14" s="69"/>
      <c r="N14" s="53" t="s">
        <v>234</v>
      </c>
      <c r="O14" s="86">
        <f>'[1]US Treasury Bonds'!$C$8</f>
        <v>4.2709999999999998E-2</v>
      </c>
      <c r="P14" s="41"/>
      <c r="Q14" s="41"/>
      <c r="R14" s="41"/>
    </row>
    <row r="15" spans="1:18" ht="22" customHeight="1" x14ac:dyDescent="0.2">
      <c r="A15" s="78" t="s">
        <v>176</v>
      </c>
      <c r="B15" s="79">
        <v>-222515000</v>
      </c>
      <c r="C15" s="79">
        <v>-203871000</v>
      </c>
      <c r="D15" s="79">
        <v>-190834000</v>
      </c>
      <c r="E15" s="79">
        <v>-136261000</v>
      </c>
      <c r="F15" s="87">
        <v>55000000</v>
      </c>
      <c r="G15" s="79">
        <v>80000000</v>
      </c>
      <c r="H15" s="79">
        <v>150000000</v>
      </c>
      <c r="I15" s="79">
        <v>300000000</v>
      </c>
      <c r="J15" s="80">
        <v>500000000</v>
      </c>
      <c r="K15" s="88" t="s">
        <v>235</v>
      </c>
      <c r="L15" s="69"/>
      <c r="M15" s="69"/>
      <c r="N15" s="53" t="s">
        <v>236</v>
      </c>
      <c r="O15" s="93" cm="1">
        <f t="array" ref="O15">_FV(A1,"Beta")</f>
        <v>1.7130000000000001</v>
      </c>
      <c r="P15" s="41"/>
      <c r="Q15" s="41"/>
      <c r="R15" s="41"/>
    </row>
    <row r="16" spans="1:18" ht="22" customHeight="1" x14ac:dyDescent="0.2">
      <c r="A16" s="94"/>
      <c r="B16" s="83"/>
      <c r="C16" s="83">
        <f t="shared" ref="C16:J16" si="3">(C15/B15)-1</f>
        <v>-8.3787609824056752E-2</v>
      </c>
      <c r="D16" s="83">
        <f t="shared" si="3"/>
        <v>-6.3947300008338592E-2</v>
      </c>
      <c r="E16" s="83">
        <f t="shared" si="3"/>
        <v>-0.28597105337623274</v>
      </c>
      <c r="F16" s="84">
        <f t="shared" si="3"/>
        <v>-1.4036371375521977</v>
      </c>
      <c r="G16" s="83">
        <f t="shared" si="3"/>
        <v>0.45454545454545459</v>
      </c>
      <c r="H16" s="83">
        <f t="shared" si="3"/>
        <v>0.875</v>
      </c>
      <c r="I16" s="83">
        <f t="shared" si="3"/>
        <v>1</v>
      </c>
      <c r="J16" s="85">
        <f t="shared" si="3"/>
        <v>0.66666666666666674</v>
      </c>
      <c r="K16" s="85">
        <f>SUM(F16:J16)/5</f>
        <v>0.31851499673198475</v>
      </c>
      <c r="L16" s="69"/>
      <c r="M16" s="69"/>
      <c r="N16" s="53" t="s">
        <v>237</v>
      </c>
      <c r="O16" s="86">
        <v>8.4000000000000005E-2</v>
      </c>
      <c r="P16" s="41"/>
      <c r="Q16" s="41"/>
      <c r="R16" s="41"/>
    </row>
    <row r="17" spans="1:18" ht="22" customHeight="1" x14ac:dyDescent="0.2">
      <c r="A17" s="89" t="s">
        <v>191</v>
      </c>
      <c r="B17" s="90">
        <f>B15/B10</f>
        <v>-1.8563800942727235</v>
      </c>
      <c r="C17" s="90">
        <f t="shared" ref="C17:J17" si="4">C15/C10</f>
        <v>-0.81579400172065386</v>
      </c>
      <c r="D17" s="90">
        <f t="shared" si="4"/>
        <v>-0.44551471360702238</v>
      </c>
      <c r="E17" s="92">
        <f t="shared" si="4"/>
        <v>-0.20881471775892851</v>
      </c>
      <c r="F17" s="90">
        <f t="shared" si="4"/>
        <v>6.1111111111111109E-2</v>
      </c>
      <c r="G17" s="90">
        <f t="shared" si="4"/>
        <v>6.9991251093613302E-2</v>
      </c>
      <c r="H17" s="90">
        <f t="shared" si="4"/>
        <v>0.1038781163434903</v>
      </c>
      <c r="I17" s="90">
        <f t="shared" si="4"/>
        <v>0.1718213058419244</v>
      </c>
      <c r="J17" s="92">
        <f t="shared" si="4"/>
        <v>0.23223409196470041</v>
      </c>
      <c r="K17" s="92"/>
      <c r="L17" s="69"/>
      <c r="M17" s="69"/>
      <c r="N17" s="95" t="s">
        <v>232</v>
      </c>
      <c r="O17" s="96">
        <f>(O14)+((O15)*(O16-O14))</f>
        <v>0.11343977000000001</v>
      </c>
      <c r="P17" s="41"/>
      <c r="Q17" s="41"/>
      <c r="R17" s="41"/>
    </row>
    <row r="18" spans="1:18" ht="22" customHeight="1" x14ac:dyDescent="0.2">
      <c r="A18" s="97" t="s">
        <v>187</v>
      </c>
      <c r="B18" s="98">
        <v>1.0907410835689981</v>
      </c>
      <c r="C18" s="98">
        <v>0.42286783541800521</v>
      </c>
      <c r="D18" s="98">
        <v>-0.23303233863094591</v>
      </c>
      <c r="E18" s="98">
        <v>-0.18266766515322747</v>
      </c>
      <c r="F18" s="99"/>
      <c r="G18" s="98"/>
      <c r="H18" s="98"/>
      <c r="I18" s="98"/>
      <c r="J18" s="100"/>
      <c r="K18" s="101"/>
      <c r="L18" s="69"/>
      <c r="M18" s="69"/>
      <c r="N18" s="114" t="s">
        <v>238</v>
      </c>
      <c r="O18" s="115"/>
      <c r="P18" s="41"/>
      <c r="Q18" s="41"/>
      <c r="R18" s="41"/>
    </row>
    <row r="19" spans="1:18" ht="22" customHeight="1" x14ac:dyDescent="0.2">
      <c r="A19" s="69"/>
      <c r="B19" s="69"/>
      <c r="C19" s="69"/>
      <c r="D19" s="69"/>
      <c r="E19" s="69"/>
      <c r="F19" s="69" t="s">
        <v>239</v>
      </c>
      <c r="G19" s="69"/>
      <c r="H19" s="69"/>
      <c r="I19" s="69"/>
      <c r="J19" s="69"/>
      <c r="K19" s="69"/>
      <c r="L19" s="69"/>
      <c r="M19" s="69"/>
      <c r="N19" s="53" t="s">
        <v>215</v>
      </c>
      <c r="O19" s="102">
        <f>O6+O7</f>
        <v>105378000</v>
      </c>
      <c r="P19" s="41"/>
      <c r="Q19" s="41"/>
      <c r="R19" s="41"/>
    </row>
    <row r="20" spans="1:18" ht="22" customHeight="1" x14ac:dyDescent="0.2">
      <c r="B20" s="103"/>
      <c r="C20" s="103"/>
      <c r="D20" s="103"/>
      <c r="E20" s="103"/>
      <c r="F20" s="69"/>
      <c r="G20" s="69"/>
      <c r="H20" s="69"/>
      <c r="I20" s="69"/>
      <c r="J20" s="69"/>
      <c r="K20" s="69"/>
      <c r="L20" s="69"/>
      <c r="M20" s="69"/>
      <c r="N20" s="53" t="s">
        <v>192</v>
      </c>
      <c r="O20" s="102">
        <f>A3</f>
        <v>18503990000</v>
      </c>
      <c r="P20" s="41"/>
      <c r="Q20" s="41"/>
      <c r="R20" s="41"/>
    </row>
    <row r="21" spans="1:18" ht="22" customHeight="1" x14ac:dyDescent="0.2">
      <c r="A21" s="106" t="str" cm="1">
        <f t="array" ref="A21">_FV(A1,"Industry")</f>
        <v>Software &amp; IT Services</v>
      </c>
      <c r="B21" s="106"/>
      <c r="C21" s="106"/>
      <c r="D21" s="116" cm="1">
        <f t="array" ref="D21">_FV(A1,"Year incorporated",TRUE)</f>
        <v>2015</v>
      </c>
      <c r="E21" s="116"/>
      <c r="F21" s="69"/>
      <c r="G21" s="69"/>
      <c r="H21" s="69"/>
      <c r="I21" s="69"/>
      <c r="J21" s="69"/>
      <c r="K21" s="69"/>
      <c r="M21" s="69"/>
      <c r="N21" s="53" t="s">
        <v>240</v>
      </c>
      <c r="O21" s="102">
        <f>O19+O20</f>
        <v>18609368000</v>
      </c>
      <c r="P21" s="41"/>
      <c r="Q21" s="41"/>
      <c r="R21" s="41"/>
    </row>
    <row r="22" spans="1:18" ht="22" customHeight="1" x14ac:dyDescent="0.2">
      <c r="A22" s="106" t="str" cm="1">
        <f t="array" ref="A22">_FV(A1,"Description")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B22" s="106"/>
      <c r="C22" s="106"/>
      <c r="D22" s="106"/>
      <c r="E22" s="106"/>
      <c r="F22" s="69"/>
      <c r="G22" s="69"/>
      <c r="H22" s="69"/>
      <c r="I22" s="69"/>
      <c r="J22" s="69"/>
      <c r="K22" s="69"/>
      <c r="L22" s="69"/>
      <c r="M22" s="69"/>
      <c r="N22" s="70" t="s">
        <v>241</v>
      </c>
      <c r="O22" s="104">
        <f>(O19/O21)</f>
        <v>5.6626318529463225E-3</v>
      </c>
      <c r="P22" s="41"/>
      <c r="Q22" s="41"/>
      <c r="R22" s="41"/>
    </row>
    <row r="23" spans="1:18" ht="22" customHeight="1" x14ac:dyDescent="0.2">
      <c r="A23" s="106"/>
      <c r="B23" s="106"/>
      <c r="C23" s="106"/>
      <c r="D23" s="106"/>
      <c r="E23" s="106"/>
      <c r="F23" s="69"/>
      <c r="G23" s="69"/>
      <c r="H23" s="69"/>
      <c r="I23" s="69"/>
      <c r="J23" s="69"/>
      <c r="K23" s="69"/>
      <c r="L23" s="69"/>
      <c r="M23" s="69"/>
      <c r="N23" s="95" t="s">
        <v>242</v>
      </c>
      <c r="O23" s="105">
        <f>O20/O21</f>
        <v>0.99433736814705365</v>
      </c>
      <c r="P23" s="41"/>
      <c r="Q23" s="41"/>
      <c r="R23" s="41"/>
    </row>
    <row r="24" spans="1:18" ht="22" customHeight="1" x14ac:dyDescent="0.2">
      <c r="A24" s="106"/>
      <c r="B24" s="106"/>
      <c r="C24" s="106"/>
      <c r="D24" s="106"/>
      <c r="E24" s="106"/>
      <c r="F24" s="69"/>
      <c r="G24" s="69"/>
      <c r="H24" s="69"/>
      <c r="I24" s="69"/>
      <c r="J24" s="69"/>
      <c r="K24" s="69"/>
      <c r="L24" s="69"/>
      <c r="M24" s="69"/>
      <c r="N24" s="107" t="s">
        <v>243</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0.11194153422686812</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69"/>
      <c r="R33" s="69"/>
    </row>
    <row r="34" spans="1:18" x14ac:dyDescent="0.2">
      <c r="A34" s="69"/>
      <c r="B34" s="69"/>
      <c r="C34" s="69"/>
      <c r="D34" s="69"/>
      <c r="E34" s="69"/>
      <c r="F34" s="69"/>
      <c r="G34" s="69"/>
      <c r="H34" s="69"/>
      <c r="I34" s="69"/>
      <c r="J34" s="69"/>
      <c r="K34" s="69"/>
      <c r="L34" s="69"/>
      <c r="M34" s="69"/>
      <c r="N34" s="69"/>
      <c r="O34" s="69"/>
      <c r="P34" s="69"/>
      <c r="Q34" s="69"/>
      <c r="R34" s="69"/>
    </row>
    <row r="35" spans="1:18" x14ac:dyDescent="0.2">
      <c r="A35" s="69"/>
      <c r="B35" s="69"/>
      <c r="C35" s="69"/>
      <c r="D35" s="69"/>
      <c r="E35" s="69"/>
      <c r="F35" s="69"/>
      <c r="G35" s="69"/>
      <c r="H35" s="69"/>
      <c r="I35" s="69"/>
      <c r="J35" s="69"/>
      <c r="K35" s="69"/>
      <c r="L35" s="69"/>
      <c r="M35" s="69"/>
      <c r="N35" s="69"/>
      <c r="O35" s="69"/>
      <c r="P35" s="69"/>
      <c r="Q35" s="69"/>
      <c r="R35" s="69"/>
    </row>
    <row r="36" spans="1:18" x14ac:dyDescent="0.2">
      <c r="A36" s="69"/>
      <c r="B36" s="69"/>
      <c r="C36" s="69"/>
      <c r="D36" s="69"/>
      <c r="E36" s="69"/>
      <c r="F36" s="69"/>
      <c r="G36" s="69"/>
      <c r="H36" s="69"/>
      <c r="I36" s="69"/>
      <c r="J36" s="69"/>
      <c r="K36" s="69"/>
      <c r="L36" s="69"/>
      <c r="M36" s="69"/>
      <c r="N36" s="69"/>
      <c r="O36" s="69"/>
      <c r="P36" s="69"/>
      <c r="Q36" s="69"/>
      <c r="R36" s="69"/>
    </row>
    <row r="37" spans="1:18" x14ac:dyDescent="0.2">
      <c r="A37" s="69"/>
      <c r="B37" s="69"/>
      <c r="C37" s="69"/>
      <c r="D37" s="69"/>
      <c r="E37" s="69"/>
      <c r="F37" s="69"/>
      <c r="G37" s="69"/>
      <c r="H37" s="69"/>
      <c r="I37" s="69"/>
      <c r="J37" s="69"/>
      <c r="K37" s="69"/>
      <c r="L37" s="69"/>
      <c r="M37" s="69"/>
      <c r="N37" s="69"/>
      <c r="O37" s="69"/>
      <c r="P37" s="69"/>
      <c r="Q37" s="69"/>
      <c r="R37" s="69"/>
    </row>
    <row r="38" spans="1:18" x14ac:dyDescent="0.2">
      <c r="A38" s="69"/>
      <c r="B38" s="69"/>
      <c r="C38" s="69"/>
      <c r="D38" s="69"/>
      <c r="E38" s="69"/>
      <c r="F38" s="69"/>
      <c r="G38" s="69"/>
      <c r="H38" s="69"/>
      <c r="I38" s="69"/>
      <c r="J38" s="69"/>
      <c r="K38" s="69"/>
      <c r="L38" s="69"/>
      <c r="M38" s="69"/>
      <c r="N38" s="69"/>
      <c r="O38" s="69"/>
      <c r="P38" s="69"/>
      <c r="Q38" s="69"/>
      <c r="R38" s="69"/>
    </row>
    <row r="39" spans="1:18" x14ac:dyDescent="0.2">
      <c r="A39" s="69"/>
      <c r="B39" s="69"/>
      <c r="C39" s="69"/>
      <c r="D39" s="69"/>
      <c r="E39" s="69"/>
      <c r="F39" s="69"/>
      <c r="G39" s="69"/>
      <c r="H39" s="69"/>
      <c r="I39" s="69"/>
      <c r="J39" s="69"/>
      <c r="K39" s="69"/>
      <c r="L39" s="69"/>
      <c r="M39" s="69"/>
      <c r="N39" s="69"/>
      <c r="O39" s="69"/>
      <c r="P39" s="69"/>
      <c r="Q39" s="69"/>
      <c r="R39" s="69"/>
    </row>
    <row r="40" spans="1:18" x14ac:dyDescent="0.2">
      <c r="A40" s="69"/>
      <c r="B40" s="69"/>
      <c r="C40" s="69"/>
      <c r="D40" s="69"/>
      <c r="E40" s="69"/>
      <c r="F40" s="69"/>
      <c r="G40" s="69"/>
      <c r="H40" s="69"/>
      <c r="I40" s="69"/>
      <c r="J40" s="69"/>
      <c r="K40" s="69"/>
      <c r="L40" s="69"/>
      <c r="M40" s="69"/>
      <c r="N40" s="69"/>
      <c r="O40" s="69"/>
      <c r="P40" s="69"/>
      <c r="Q40" s="69"/>
      <c r="R40" s="69"/>
    </row>
    <row r="41" spans="1:18" x14ac:dyDescent="0.2">
      <c r="A41" s="69"/>
      <c r="B41" s="69"/>
      <c r="C41" s="69"/>
      <c r="D41" s="69"/>
      <c r="E41" s="69"/>
      <c r="F41" s="69"/>
      <c r="G41" s="69"/>
      <c r="H41" s="69"/>
      <c r="I41" s="69"/>
      <c r="J41" s="69"/>
      <c r="K41" s="69"/>
      <c r="L41" s="69"/>
      <c r="M41" s="69"/>
      <c r="N41" s="69"/>
      <c r="O41" s="69"/>
      <c r="P41" s="69"/>
      <c r="Q41" s="69"/>
      <c r="R41" s="69"/>
    </row>
    <row r="42" spans="1:18" x14ac:dyDescent="0.2">
      <c r="A42" s="69"/>
      <c r="B42" s="69"/>
      <c r="C42" s="69"/>
      <c r="D42" s="69"/>
      <c r="E42" s="69"/>
      <c r="F42" s="69"/>
      <c r="G42" s="69"/>
      <c r="H42" s="69"/>
      <c r="I42" s="69"/>
      <c r="J42" s="69"/>
      <c r="K42" s="69"/>
      <c r="L42" s="69"/>
      <c r="M42" s="69"/>
      <c r="N42" s="69"/>
      <c r="O42" s="69"/>
      <c r="P42" s="69"/>
      <c r="Q42" s="69"/>
      <c r="R42" s="69"/>
    </row>
    <row r="43" spans="1:18" x14ac:dyDescent="0.2">
      <c r="A43" s="69"/>
      <c r="B43" s="69"/>
      <c r="C43" s="69"/>
      <c r="D43" s="69"/>
      <c r="E43" s="69"/>
      <c r="F43" s="69"/>
      <c r="G43" s="69"/>
      <c r="H43" s="69"/>
      <c r="I43" s="69"/>
      <c r="J43" s="69"/>
      <c r="K43" s="69"/>
      <c r="L43" s="69"/>
      <c r="M43" s="69"/>
      <c r="N43" s="69"/>
      <c r="O43" s="69"/>
      <c r="P43" s="69"/>
      <c r="Q43" s="69"/>
      <c r="R43" s="69"/>
    </row>
    <row r="44" spans="1:18" x14ac:dyDescent="0.2">
      <c r="A44" s="69"/>
      <c r="B44" s="69"/>
      <c r="C44" s="69"/>
      <c r="D44" s="69"/>
      <c r="E44" s="69"/>
      <c r="F44" s="69"/>
      <c r="G44" s="69"/>
      <c r="H44" s="69"/>
      <c r="I44" s="69"/>
      <c r="J44" s="69"/>
      <c r="K44" s="69"/>
      <c r="L44" s="69"/>
      <c r="M44" s="69"/>
      <c r="N44" s="69"/>
      <c r="O44" s="69"/>
      <c r="P44" s="69"/>
      <c r="Q44" s="69"/>
      <c r="R44" s="69"/>
    </row>
    <row r="45" spans="1:18" x14ac:dyDescent="0.2">
      <c r="A45" s="69"/>
      <c r="B45" s="69"/>
      <c r="C45" s="69"/>
      <c r="D45" s="69"/>
      <c r="E45" s="69"/>
      <c r="F45" s="69"/>
      <c r="G45" s="69"/>
      <c r="H45" s="69"/>
      <c r="I45" s="69"/>
      <c r="J45" s="69"/>
      <c r="K45" s="69"/>
      <c r="L45" s="69"/>
      <c r="M45" s="69"/>
      <c r="N45" s="69"/>
      <c r="O45" s="69"/>
      <c r="P45" s="69"/>
      <c r="Q45" s="69"/>
      <c r="R45" s="69"/>
    </row>
    <row r="46" spans="1:18" x14ac:dyDescent="0.2">
      <c r="A46" s="69"/>
      <c r="B46" s="69"/>
      <c r="C46" s="69"/>
      <c r="D46" s="69"/>
      <c r="E46" s="69"/>
      <c r="F46" s="69"/>
      <c r="G46" s="69"/>
      <c r="H46" s="69"/>
      <c r="I46" s="69"/>
      <c r="J46" s="69"/>
      <c r="K46" s="69"/>
      <c r="L46" s="69"/>
      <c r="M46" s="69"/>
      <c r="N46" s="69"/>
      <c r="O46" s="69"/>
      <c r="P46" s="69"/>
      <c r="Q46" s="69"/>
      <c r="R46" s="69"/>
    </row>
    <row r="47" spans="1:18" x14ac:dyDescent="0.2">
      <c r="A47" s="69"/>
      <c r="B47" s="69"/>
      <c r="C47" s="69"/>
      <c r="D47" s="69"/>
      <c r="E47" s="69"/>
      <c r="F47" s="69"/>
      <c r="G47" s="69"/>
      <c r="H47" s="69"/>
      <c r="I47" s="69"/>
      <c r="J47" s="69"/>
      <c r="K47" s="69"/>
      <c r="L47" s="69"/>
      <c r="M47" s="69"/>
      <c r="N47" s="69"/>
      <c r="O47" s="69"/>
      <c r="P47" s="69"/>
      <c r="Q47" s="69"/>
      <c r="R47" s="69"/>
    </row>
    <row r="48" spans="1:18" x14ac:dyDescent="0.2">
      <c r="A48" s="69"/>
      <c r="B48" s="69"/>
      <c r="C48" s="69"/>
      <c r="D48" s="69"/>
      <c r="E48" s="69"/>
      <c r="F48" s="69"/>
      <c r="G48" s="69"/>
      <c r="H48" s="69"/>
      <c r="I48" s="69"/>
      <c r="J48" s="69"/>
      <c r="K48" s="69"/>
      <c r="L48" s="69"/>
      <c r="M48" s="69"/>
      <c r="N48" s="69"/>
      <c r="O48" s="69"/>
      <c r="P48" s="69"/>
      <c r="Q48" s="69"/>
      <c r="R48" s="69"/>
    </row>
    <row r="49" spans="1:18" x14ac:dyDescent="0.2">
      <c r="A49" s="69"/>
      <c r="B49" s="69"/>
      <c r="C49" s="69"/>
      <c r="D49" s="69"/>
      <c r="E49" s="69"/>
      <c r="F49" s="69"/>
      <c r="G49" s="69"/>
      <c r="H49" s="69"/>
      <c r="I49" s="69"/>
      <c r="J49" s="69"/>
      <c r="K49" s="69"/>
      <c r="L49" s="69"/>
      <c r="M49" s="69"/>
      <c r="N49" s="69"/>
      <c r="O49" s="69"/>
      <c r="P49" s="69"/>
      <c r="Q49" s="69"/>
      <c r="R49" s="69"/>
    </row>
    <row r="50" spans="1:18" x14ac:dyDescent="0.2">
      <c r="A50" s="69"/>
      <c r="B50" s="69"/>
      <c r="C50" s="69"/>
      <c r="D50" s="69"/>
      <c r="E50" s="69"/>
      <c r="F50" s="69"/>
      <c r="G50" s="69"/>
      <c r="H50" s="69"/>
      <c r="I50" s="69"/>
      <c r="J50" s="69"/>
      <c r="K50" s="69"/>
      <c r="L50" s="69"/>
      <c r="M50" s="69"/>
      <c r="N50" s="69"/>
      <c r="O50" s="69"/>
      <c r="P50" s="69"/>
      <c r="Q50" s="69"/>
      <c r="R50" s="69"/>
    </row>
    <row r="51" spans="1:18" x14ac:dyDescent="0.2">
      <c r="A51" s="69"/>
      <c r="B51" s="69"/>
      <c r="C51" s="69"/>
      <c r="D51" s="69"/>
      <c r="E51" s="69"/>
      <c r="F51" s="69"/>
      <c r="G51" s="69"/>
      <c r="H51" s="69"/>
      <c r="I51" s="69"/>
      <c r="J51" s="69"/>
      <c r="K51" s="69"/>
      <c r="L51" s="69"/>
      <c r="M51" s="69"/>
      <c r="N51" s="69"/>
      <c r="O51" s="69"/>
      <c r="P51" s="69"/>
      <c r="Q51" s="69"/>
      <c r="R51" s="69"/>
    </row>
    <row r="52" spans="1:18" x14ac:dyDescent="0.2">
      <c r="A52" s="69"/>
      <c r="B52" s="69"/>
      <c r="C52" s="69"/>
      <c r="D52" s="69"/>
      <c r="E52" s="69"/>
      <c r="F52" s="69"/>
      <c r="G52" s="69"/>
      <c r="H52" s="69"/>
      <c r="I52" s="69"/>
      <c r="J52" s="69"/>
      <c r="K52" s="69"/>
      <c r="L52" s="69"/>
      <c r="M52" s="69"/>
      <c r="N52" s="69"/>
      <c r="O52" s="69"/>
      <c r="P52" s="69"/>
      <c r="Q52" s="69"/>
      <c r="R52" s="69"/>
    </row>
    <row r="53" spans="1:18" x14ac:dyDescent="0.2">
      <c r="A53" s="69"/>
      <c r="B53" s="69"/>
      <c r="C53" s="69"/>
      <c r="D53" s="69"/>
      <c r="E53" s="69"/>
      <c r="F53" s="69"/>
      <c r="G53" s="69"/>
      <c r="H53" s="69"/>
      <c r="I53" s="69"/>
      <c r="J53" s="69"/>
      <c r="K53" s="69"/>
      <c r="L53" s="69"/>
      <c r="M53" s="69"/>
      <c r="N53" s="69"/>
      <c r="O53" s="69"/>
      <c r="P53" s="69"/>
      <c r="Q53" s="69"/>
      <c r="R53" s="69"/>
    </row>
    <row r="54" spans="1:18" x14ac:dyDescent="0.2">
      <c r="A54" s="69"/>
      <c r="B54" s="69"/>
      <c r="C54" s="69"/>
      <c r="D54" s="69"/>
      <c r="E54" s="69"/>
      <c r="F54" s="69"/>
      <c r="G54" s="69"/>
      <c r="H54" s="69"/>
      <c r="I54" s="69"/>
      <c r="J54" s="69"/>
      <c r="K54" s="69"/>
      <c r="L54" s="69"/>
      <c r="M54" s="69"/>
      <c r="N54" s="69"/>
      <c r="O54" s="69"/>
      <c r="P54" s="69"/>
      <c r="Q54" s="69"/>
      <c r="R54" s="69"/>
    </row>
    <row r="55" spans="1:18" x14ac:dyDescent="0.2">
      <c r="A55" s="69"/>
      <c r="B55" s="69"/>
      <c r="C55" s="69"/>
      <c r="D55" s="69"/>
      <c r="E55" s="69"/>
      <c r="F55" s="69"/>
      <c r="G55" s="69"/>
      <c r="H55" s="69"/>
      <c r="I55" s="69"/>
      <c r="J55" s="69"/>
      <c r="K55" s="69"/>
      <c r="L55" s="69"/>
      <c r="M55" s="69"/>
      <c r="N55" s="69"/>
      <c r="O55" s="69"/>
      <c r="P55" s="69"/>
      <c r="Q55" s="69"/>
      <c r="R55" s="69"/>
    </row>
    <row r="56" spans="1:18" x14ac:dyDescent="0.2">
      <c r="A56" s="69"/>
      <c r="B56" s="69"/>
      <c r="C56" s="69"/>
      <c r="D56" s="69"/>
      <c r="E56" s="69"/>
      <c r="F56" s="69"/>
      <c r="G56" s="69"/>
      <c r="H56" s="69"/>
      <c r="I56" s="69"/>
      <c r="J56" s="69"/>
      <c r="K56" s="69"/>
      <c r="L56" s="69"/>
      <c r="M56" s="69"/>
      <c r="N56" s="69"/>
      <c r="O56" s="69"/>
      <c r="P56" s="69"/>
      <c r="Q56" s="69"/>
      <c r="R56" s="69"/>
    </row>
    <row r="57" spans="1:18" x14ac:dyDescent="0.2">
      <c r="A57" s="69"/>
      <c r="B57" s="69"/>
      <c r="C57" s="69"/>
      <c r="D57" s="69"/>
      <c r="E57" s="69"/>
      <c r="F57" s="69"/>
      <c r="G57" s="69"/>
      <c r="H57" s="69"/>
      <c r="I57" s="69"/>
      <c r="J57" s="69"/>
      <c r="K57" s="69"/>
      <c r="L57" s="69"/>
      <c r="M57" s="69"/>
      <c r="N57" s="69"/>
      <c r="O57" s="69"/>
      <c r="P57" s="69"/>
      <c r="Q57" s="69"/>
      <c r="R57" s="69"/>
    </row>
    <row r="58" spans="1:18" x14ac:dyDescent="0.2">
      <c r="A58" s="69"/>
      <c r="B58" s="69"/>
      <c r="C58" s="69"/>
      <c r="D58" s="69"/>
      <c r="E58" s="69"/>
      <c r="F58" s="69"/>
      <c r="G58" s="69"/>
      <c r="H58" s="69"/>
      <c r="I58" s="69"/>
      <c r="J58" s="69"/>
      <c r="K58" s="69"/>
      <c r="L58" s="69"/>
      <c r="M58" s="69"/>
      <c r="N58" s="69"/>
      <c r="O58" s="69"/>
      <c r="P58" s="69"/>
      <c r="Q58" s="69"/>
      <c r="R58" s="69"/>
    </row>
    <row r="59" spans="1:18" x14ac:dyDescent="0.2">
      <c r="A59" s="69"/>
      <c r="B59" s="69"/>
      <c r="C59" s="69"/>
      <c r="D59" s="69"/>
      <c r="E59" s="69"/>
      <c r="F59" s="69"/>
      <c r="G59" s="69"/>
      <c r="H59" s="69"/>
      <c r="I59" s="69"/>
      <c r="J59" s="69"/>
      <c r="K59" s="69"/>
      <c r="L59" s="69"/>
      <c r="M59" s="69"/>
      <c r="N59" s="69"/>
      <c r="O59" s="69"/>
      <c r="P59" s="69"/>
      <c r="Q59" s="69"/>
      <c r="R59" s="69"/>
    </row>
    <row r="60" spans="1:18" x14ac:dyDescent="0.2">
      <c r="A60" s="69"/>
      <c r="B60" s="69"/>
      <c r="C60" s="69"/>
      <c r="D60" s="69"/>
      <c r="E60" s="69"/>
      <c r="F60" s="69"/>
      <c r="G60" s="69"/>
      <c r="H60" s="69"/>
      <c r="I60" s="69"/>
      <c r="J60" s="69"/>
      <c r="K60" s="69"/>
      <c r="L60" s="69"/>
      <c r="M60" s="69"/>
      <c r="N60" s="69"/>
      <c r="O60" s="69"/>
      <c r="P60" s="69"/>
      <c r="Q60" s="69"/>
      <c r="R60" s="69"/>
    </row>
    <row r="61" spans="1:18" x14ac:dyDescent="0.2">
      <c r="A61" s="69"/>
      <c r="B61" s="69"/>
      <c r="C61" s="69"/>
      <c r="D61" s="69"/>
      <c r="E61" s="69"/>
      <c r="F61" s="69"/>
      <c r="G61" s="69"/>
      <c r="H61" s="69"/>
      <c r="I61" s="69"/>
      <c r="J61" s="69"/>
      <c r="K61" s="69"/>
      <c r="L61" s="69"/>
      <c r="M61" s="69"/>
      <c r="N61" s="69"/>
      <c r="O61" s="69"/>
      <c r="P61" s="69"/>
      <c r="Q61" s="69"/>
      <c r="R61" s="69"/>
    </row>
    <row r="62" spans="1:18" x14ac:dyDescent="0.2">
      <c r="O62" s="41"/>
      <c r="P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IOT/explorer/revenue_proj" xr:uid="{08E831C3-EC13-D64B-B90E-32BCDC68FE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2023-12-03T04:12:36Z</dcterms:modified>
</cp:coreProperties>
</file>