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77AD9841-BB5F-C840-BFF4-696177EDC046}"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C6" i="2"/>
  <c r="C5" i="2"/>
  <c r="J17" i="2" l="1"/>
  <c r="I17" i="2"/>
  <c r="H17" i="2"/>
  <c r="G17" i="2"/>
  <c r="F17" i="2"/>
  <c r="E17" i="2"/>
  <c r="D17" i="2"/>
  <c r="C17" i="2"/>
  <c r="B17" i="2"/>
  <c r="J14" i="2"/>
  <c r="I14" i="2"/>
  <c r="H14" i="2"/>
  <c r="G14" i="2"/>
  <c r="F14" i="2"/>
  <c r="E14" i="2"/>
  <c r="D14" i="2"/>
  <c r="C14" i="2"/>
  <c r="B14" i="2"/>
  <c r="K4" i="2" l="1" a="1"/>
  <c r="K4" i="2" s="1"/>
  <c r="I3" i="1" l="1"/>
  <c r="I18" i="1"/>
  <c r="I35" i="1"/>
  <c r="H189" i="1"/>
  <c r="O10" i="2" l="1"/>
  <c r="O9" i="2"/>
  <c r="O7" i="2"/>
  <c r="O19" i="2" s="1"/>
  <c r="G7" i="2"/>
  <c r="E7" i="2"/>
  <c r="O6" i="2"/>
  <c r="O8" i="2" s="1"/>
  <c r="G6" i="2"/>
  <c r="E6" i="2"/>
  <c r="O5" i="2"/>
  <c r="G5" i="2"/>
  <c r="C4" i="2"/>
  <c r="A4" i="2"/>
  <c r="C3" i="2"/>
  <c r="A22" i="2" a="1"/>
  <c r="A22" i="2" s="1"/>
  <c r="C21" i="2" a="1"/>
  <c r="C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O11" i="2"/>
  <c r="K5" i="2" a="1"/>
  <c r="K5" i="2" s="1"/>
  <c r="A5" i="2" a="1"/>
  <c r="A5" i="2" s="1"/>
  <c r="E3" i="2"/>
  <c r="A3" i="2" a="1"/>
  <c r="A3" i="2" s="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H35" i="1"/>
  <c r="F35" i="1"/>
  <c r="E35" i="1"/>
  <c r="D35" i="1"/>
  <c r="C35" i="1"/>
  <c r="J18" i="1"/>
  <c r="H18" i="1"/>
  <c r="F18" i="1"/>
  <c r="E18" i="1"/>
  <c r="D18" i="1"/>
  <c r="C18" i="1"/>
  <c r="J14" i="1"/>
  <c r="I14" i="1"/>
  <c r="H14" i="1"/>
  <c r="G14" i="1"/>
  <c r="F14" i="1"/>
  <c r="E14" i="1"/>
  <c r="D14" i="1"/>
  <c r="C14" i="1"/>
  <c r="B14" i="1"/>
  <c r="J12" i="1"/>
  <c r="I12" i="1"/>
  <c r="H12" i="1"/>
  <c r="G12" i="1"/>
  <c r="F12" i="1"/>
  <c r="E12" i="1"/>
  <c r="D12" i="1"/>
  <c r="C12" i="1"/>
  <c r="B12" i="1"/>
  <c r="J3" i="1"/>
  <c r="H3" i="1"/>
  <c r="F3" i="1"/>
  <c r="E3" i="1"/>
  <c r="D3" i="1"/>
  <c r="C3" i="1"/>
  <c r="E4" i="2" l="1"/>
  <c r="K16" i="2"/>
  <c r="K3" i="2"/>
  <c r="G4" i="2"/>
  <c r="K13" i="2"/>
  <c r="K11" i="2"/>
  <c r="E5" i="2"/>
  <c r="O20" i="2"/>
  <c r="C7" i="2"/>
  <c r="O12"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<sst xmlns="http://schemas.openxmlformats.org/spreadsheetml/2006/main" count="910" uniqueCount="244">
  <si>
    <t>2020 Y</t>
  </si>
  <si>
    <t>2021 Y</t>
  </si>
  <si>
    <t>2022 Y</t>
  </si>
  <si>
    <t>2023 Y</t>
  </si>
  <si>
    <t>TTM</t>
  </si>
  <si>
    <t>2023 Q3</t>
  </si>
  <si>
    <t>2023 Q4</t>
  </si>
  <si>
    <t>2023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</si>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</sst>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5" borderId="0" xfId="0" applyNumberFormat="1" applyFont="1" applyFill="1"/>
    <xf numFmtId="4" fontId="8" fillId="0" borderId="0" xfId="0" applyNumberFormat="1" applyFont="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8" fillId="0" borderId="3" xfId="0" applyNumberFormat="1" applyFont="1" applyBorder="1"/>
    <xf numFmtId="4" fontId="7" fillId="5" borderId="3" xfId="0" applyNumberFormat="1" applyFont="1" applyFill="1" applyBorder="1"/>
    <xf numFmtId="0" fontId="4" fillId="0" borderId="2" xfId="0" applyFont="1" applyBorder="1"/>
    <xf numFmtId="4" fontId="8" fillId="0" borderId="2" xfId="0" applyNumberFormat="1" applyFont="1" applyBorder="1"/>
    <xf numFmtId="4" fontId="7"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2" fillId="12" borderId="1" xfId="0" applyFont="1" applyFill="1" applyBorder="1" applyAlignment="1">
      <alignment horizontal="left" vertical="center" indent="1"/>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13" fillId="9" borderId="10" xfId="0" applyFont="1" applyFill="1" applyBorder="1" applyAlignment="1">
      <alignment horizontal="right" vertical="center" indent="1"/>
    </xf>
    <xf numFmtId="0" fontId="13" fillId="9" borderId="1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2" xfId="0" applyFont="1" applyFill="1" applyBorder="1" applyAlignment="1">
      <alignment horizontal="right" vertical="center" indent="1"/>
    </xf>
    <xf numFmtId="9" fontId="13"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1" borderId="5" xfId="0" applyFont="1" applyFill="1" applyBorder="1" applyAlignment="1">
      <alignment horizontal="left" vertical="center" indent="1"/>
    </xf>
    <xf numFmtId="9" fontId="13"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5"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7"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6" fillId="10" borderId="27" xfId="1" applyFont="1" applyFill="1" applyBorder="1" applyAlignment="1">
      <alignment horizontal="left" vertical="center" indent="1"/>
    </xf>
    <xf numFmtId="0" fontId="14" fillId="11" borderId="5" xfId="0" applyFont="1" applyFill="1" applyBorder="1" applyAlignment="1">
      <alignment horizontal="left" vertical="center" wrapText="1"/>
    </xf>
    <xf numFmtId="164" fontId="15" fillId="11" borderId="12"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2" xfId="0" applyNumberFormat="1" applyFont="1" applyFill="1" applyBorder="1" applyAlignment="1">
      <alignment vertical="center"/>
    </xf>
    <xf numFmtId="10" fontId="15" fillId="11" borderId="12" xfId="0" applyNumberFormat="1" applyFont="1" applyFill="1" applyBorder="1" applyAlignment="1">
      <alignment vertical="center"/>
    </xf>
    <xf numFmtId="2" fontId="15" fillId="11" borderId="12" xfId="0" applyNumberFormat="1" applyFont="1" applyFill="1" applyBorder="1" applyAlignment="1">
      <alignment vertical="center"/>
    </xf>
    <xf numFmtId="0" fontId="18" fillId="11" borderId="14" xfId="0" applyFont="1" applyFill="1" applyBorder="1" applyAlignment="1">
      <alignment horizontal="left" vertical="center" wrapText="1"/>
    </xf>
    <xf numFmtId="10" fontId="19" fillId="11" borderId="16" xfId="0" applyNumberFormat="1" applyFont="1" applyFill="1" applyBorder="1" applyAlignment="1">
      <alignment vertical="center"/>
    </xf>
    <xf numFmtId="164" fontId="15" fillId="11" borderId="12"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19" fillId="11" borderId="16" xfId="0" applyNumberFormat="1" applyFont="1" applyFill="1" applyBorder="1" applyAlignment="1">
      <alignment horizontal="right" vertical="center"/>
    </xf>
    <xf numFmtId="0" fontId="12" fillId="11" borderId="6" xfId="0" applyFont="1" applyFill="1" applyBorder="1" applyAlignment="1">
      <alignment horizontal="left" vertical="center" indent="2"/>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3" fillId="9" borderId="14" xfId="1" applyNumberFormat="1" applyFont="1" applyFill="1" applyBorder="1" applyAlignment="1">
      <alignment horizontal="center" vertical="center"/>
    </xf>
    <xf numFmtId="10" fontId="13"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1" borderId="6" xfId="1" applyFont="1" applyFill="1" applyBorder="1" applyAlignment="1">
      <alignment horizontal="center" vertical="center"/>
    </xf>
    <xf numFmtId="9" fontId="13"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xf numFmtId="0" fontId="12" fillId="12"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21.954999999999998</v>
    <v>12.43</v>
    <v>1.796</v>
    <v>0.74</v>
    <v>3.8764E-2</v>
    <v>0.02</v>
    <v>1.0090000000000001E-3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19.850000000000001</v>
    <v>Software &amp; IT Services</v>
    <v>Stock</v>
    <v>45261.964364779691</v>
    <v>0</v>
    <v>18.97</v>
    <v>5863211453</v>
    <v>SENTINELONE, INC.</v>
    <v>SENTINELONE, INC.</v>
    <v>18.97</v>
    <v>19.09</v>
    <v>19.829999999999998</v>
    <v>19.850000000000001</v>
    <v>295673800</v>
    <v>S</v>
    <v>SENTINELONE, INC. (XNYS:S)</v>
    <v>6326596</v>
    <v>4234663</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23" workbookViewId="0">
      <pane xSplit="1" topLeftCell="B1" activePane="topRight" state="frozen"/>
      <selection pane="topRight" activeCell="A190" sqref="A190:XFD190"/>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46474000</v>
      </c>
      <c r="C2" s="26">
        <v>93056000</v>
      </c>
      <c r="D2" s="26">
        <v>204799000</v>
      </c>
      <c r="E2" s="26">
        <v>422179000</v>
      </c>
      <c r="F2" s="27">
        <v>524233000</v>
      </c>
      <c r="G2" s="26">
        <v>115323000</v>
      </c>
      <c r="H2" s="26">
        <v>126096000</v>
      </c>
      <c r="I2" s="26">
        <v>133393000</v>
      </c>
      <c r="J2" s="26">
        <v>149421000</v>
      </c>
    </row>
    <row r="3" spans="1:10" ht="16" x14ac:dyDescent="0.2">
      <c r="A3" s="9" t="s">
        <v>182</v>
      </c>
      <c r="B3" s="10"/>
      <c r="C3" s="11">
        <f t="shared" ref="C3:J3" si="0">(C2/B2)-1</f>
        <v>1.0023238800189351</v>
      </c>
      <c r="D3" s="11">
        <f t="shared" si="0"/>
        <v>1.2008145632737275</v>
      </c>
      <c r="E3" s="11">
        <f t="shared" si="0"/>
        <v>1.061430964018379</v>
      </c>
      <c r="F3" s="11">
        <f t="shared" si="0"/>
        <v>0.24173158778622339</v>
      </c>
      <c r="G3" s="11"/>
      <c r="H3" s="11">
        <f t="shared" si="0"/>
        <v>9.3415884082099776E-2</v>
      </c>
      <c r="I3" s="11">
        <f t="shared" si="0"/>
        <v>5.7868608044664427E-2</v>
      </c>
      <c r="J3" s="11">
        <f t="shared" si="0"/>
        <v>0.12015623008703602</v>
      </c>
    </row>
    <row r="4" spans="1:10" ht="16" x14ac:dyDescent="0.2">
      <c r="A4" s="3" t="s">
        <v>10</v>
      </c>
      <c r="B4" s="4">
        <v>46474000</v>
      </c>
      <c r="C4" s="4">
        <v>93056000</v>
      </c>
      <c r="D4" s="4">
        <v>204799000</v>
      </c>
      <c r="E4" s="4">
        <v>422179000</v>
      </c>
      <c r="F4" s="5">
        <v>524233000</v>
      </c>
      <c r="G4" s="4">
        <v>115323000</v>
      </c>
      <c r="H4" s="4">
        <v>126096000</v>
      </c>
      <c r="I4" s="4">
        <v>133393000</v>
      </c>
      <c r="J4" s="4">
        <v>149421000</v>
      </c>
    </row>
    <row r="5" spans="1:10" ht="16" x14ac:dyDescent="0.2">
      <c r="A5" s="3" t="s">
        <v>11</v>
      </c>
      <c r="B5" s="4">
        <v>18331000</v>
      </c>
      <c r="C5" s="4">
        <v>39332000</v>
      </c>
      <c r="D5" s="4">
        <v>81677000</v>
      </c>
      <c r="E5" s="4">
        <v>144177000</v>
      </c>
      <c r="F5" s="5">
        <v>168027000</v>
      </c>
      <c r="G5" s="4">
        <v>41006000</v>
      </c>
      <c r="H5" s="4">
        <v>39771000</v>
      </c>
      <c r="I5" s="4">
        <v>42583000</v>
      </c>
      <c r="J5" s="4">
        <v>44667000</v>
      </c>
    </row>
    <row r="6" spans="1:10" ht="16" x14ac:dyDescent="0.2">
      <c r="A6" s="3" t="s">
        <v>12</v>
      </c>
      <c r="B6" s="4">
        <v>18331000</v>
      </c>
      <c r="C6" s="4">
        <v>39332000</v>
      </c>
      <c r="D6" s="4">
        <v>81677000</v>
      </c>
      <c r="E6" s="4">
        <v>144177000</v>
      </c>
      <c r="F6" s="5">
        <v>168027000</v>
      </c>
      <c r="G6" s="4">
        <v>41006000</v>
      </c>
      <c r="H6" s="4">
        <v>39771000</v>
      </c>
      <c r="I6" s="4">
        <v>42583000</v>
      </c>
      <c r="J6" s="4">
        <v>44667000</v>
      </c>
    </row>
    <row r="7" spans="1:10" ht="16" x14ac:dyDescent="0.2">
      <c r="A7" s="28" t="s">
        <v>13</v>
      </c>
      <c r="B7" s="26">
        <v>28143000</v>
      </c>
      <c r="C7" s="26">
        <v>53724000</v>
      </c>
      <c r="D7" s="26">
        <v>123122000</v>
      </c>
      <c r="E7" s="26">
        <v>278002000</v>
      </c>
      <c r="F7" s="27">
        <v>356206000</v>
      </c>
      <c r="G7" s="26">
        <v>74317000</v>
      </c>
      <c r="H7" s="26">
        <v>86325000</v>
      </c>
      <c r="I7" s="26">
        <v>90810000</v>
      </c>
      <c r="J7" s="26">
        <v>104754000</v>
      </c>
    </row>
    <row r="8" spans="1:10" ht="16" x14ac:dyDescent="0.2">
      <c r="A8" s="31" t="s">
        <v>49</v>
      </c>
      <c r="B8" s="32">
        <v>60.56</v>
      </c>
      <c r="C8" s="32">
        <v>57.73</v>
      </c>
      <c r="D8" s="32">
        <v>60.12</v>
      </c>
      <c r="E8" s="32">
        <v>65.849999999999994</v>
      </c>
      <c r="F8" s="33">
        <v>67.95</v>
      </c>
      <c r="G8" s="32">
        <v>64.44</v>
      </c>
      <c r="H8" s="32">
        <v>68.459999999999994</v>
      </c>
      <c r="I8" s="32">
        <v>68.08</v>
      </c>
      <c r="J8" s="32">
        <v>70.11</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103127000</v>
      </c>
      <c r="C10" s="4">
        <v>169243000</v>
      </c>
      <c r="D10" s="4">
        <v>390354000</v>
      </c>
      <c r="E10" s="4">
        <v>680578000</v>
      </c>
      <c r="F10" s="5">
        <v>772833000</v>
      </c>
      <c r="G10" s="4">
        <v>178375000</v>
      </c>
      <c r="H10" s="4">
        <v>186355000</v>
      </c>
      <c r="I10" s="4">
        <v>206187000</v>
      </c>
      <c r="J10" s="4">
        <v>201916000</v>
      </c>
    </row>
    <row r="11" spans="1:10" ht="16" x14ac:dyDescent="0.2">
      <c r="A11" s="24" t="s">
        <v>17</v>
      </c>
      <c r="B11" s="26">
        <v>66444000</v>
      </c>
      <c r="C11" s="26">
        <v>106799000</v>
      </c>
      <c r="D11" s="26">
        <v>254080000</v>
      </c>
      <c r="E11" s="26">
        <v>473570000</v>
      </c>
      <c r="F11" s="27">
        <v>557271000</v>
      </c>
      <c r="G11" s="26">
        <v>126141000</v>
      </c>
      <c r="H11" s="26">
        <v>132451000</v>
      </c>
      <c r="I11" s="26">
        <v>150924000</v>
      </c>
      <c r="J11" s="26">
        <v>147755000</v>
      </c>
    </row>
    <row r="12" spans="1:10" ht="16" x14ac:dyDescent="0.2">
      <c r="A12" s="12" t="s">
        <v>183</v>
      </c>
      <c r="B12" s="11">
        <f t="shared" ref="B12:J12" si="1">B11/B2</f>
        <v>1.4297026294272066</v>
      </c>
      <c r="C12" s="11">
        <f t="shared" si="1"/>
        <v>1.147685264786795</v>
      </c>
      <c r="D12" s="11">
        <f t="shared" si="1"/>
        <v>1.2406310577688369</v>
      </c>
      <c r="E12" s="11">
        <f t="shared" si="1"/>
        <v>1.1217279874176593</v>
      </c>
      <c r="F12" s="11">
        <f t="shared" si="1"/>
        <v>1.0630215953593154</v>
      </c>
      <c r="G12" s="11">
        <f t="shared" si="1"/>
        <v>1.0938060924533701</v>
      </c>
      <c r="H12" s="11">
        <f t="shared" si="1"/>
        <v>1.0503981093769825</v>
      </c>
      <c r="I12" s="11">
        <f t="shared" si="1"/>
        <v>1.1314236878996649</v>
      </c>
      <c r="J12" s="11">
        <f t="shared" si="1"/>
        <v>0.9888502954738625</v>
      </c>
    </row>
    <row r="13" spans="1:10" ht="16" x14ac:dyDescent="0.2">
      <c r="A13" s="24" t="s">
        <v>18</v>
      </c>
      <c r="B13" s="26">
        <v>36683000</v>
      </c>
      <c r="C13" s="26">
        <v>62444000</v>
      </c>
      <c r="D13" s="26">
        <v>136274000</v>
      </c>
      <c r="E13" s="26">
        <v>207008000</v>
      </c>
      <c r="F13" s="27">
        <v>215562000</v>
      </c>
      <c r="G13" s="26">
        <v>52234000</v>
      </c>
      <c r="H13" s="26">
        <v>53904000</v>
      </c>
      <c r="I13" s="26">
        <v>55263000</v>
      </c>
      <c r="J13" s="26">
        <v>54161000</v>
      </c>
    </row>
    <row r="14" spans="1:10" ht="16" x14ac:dyDescent="0.2">
      <c r="A14" s="13" t="s">
        <v>184</v>
      </c>
      <c r="B14" s="14">
        <f t="shared" ref="B14:J14" si="2">B13/B2</f>
        <v>0.7893230623574472</v>
      </c>
      <c r="C14" s="14">
        <f t="shared" si="2"/>
        <v>0.67103679504814306</v>
      </c>
      <c r="D14" s="14">
        <f t="shared" si="2"/>
        <v>0.6654036396662093</v>
      </c>
      <c r="E14" s="14">
        <f t="shared" si="2"/>
        <v>0.49033229980648019</v>
      </c>
      <c r="F14" s="14">
        <f t="shared" si="2"/>
        <v>0.41119502206080122</v>
      </c>
      <c r="G14" s="14">
        <f t="shared" si="2"/>
        <v>0.45293653477623719</v>
      </c>
      <c r="H14" s="14">
        <f t="shared" si="2"/>
        <v>0.42748382185001904</v>
      </c>
      <c r="I14" s="14">
        <f t="shared" si="2"/>
        <v>0.41428710651983236</v>
      </c>
      <c r="J14" s="14">
        <f t="shared" si="2"/>
        <v>0.3624724770949197</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-74984000</v>
      </c>
      <c r="C16" s="26">
        <v>-115519000</v>
      </c>
      <c r="D16" s="26">
        <v>-267232000</v>
      </c>
      <c r="E16" s="26">
        <v>-402576000</v>
      </c>
      <c r="F16" s="27">
        <v>-416627000</v>
      </c>
      <c r="G16" s="26">
        <v>-104058000</v>
      </c>
      <c r="H16" s="26">
        <v>-100030000</v>
      </c>
      <c r="I16" s="26">
        <v>-115377000</v>
      </c>
      <c r="J16" s="26">
        <v>-97162000</v>
      </c>
    </row>
    <row r="17" spans="1:10" ht="16" x14ac:dyDescent="0.2">
      <c r="A17" s="24" t="s">
        <v>50</v>
      </c>
      <c r="B17" s="29">
        <v>-161.35</v>
      </c>
      <c r="C17" s="29">
        <v>-124.14</v>
      </c>
      <c r="D17" s="29">
        <v>-130.49</v>
      </c>
      <c r="E17" s="29">
        <v>-95.36</v>
      </c>
      <c r="F17" s="30">
        <v>-79.47</v>
      </c>
      <c r="G17" s="29">
        <v>-90.23</v>
      </c>
      <c r="H17" s="29">
        <v>-79.33</v>
      </c>
      <c r="I17" s="29">
        <v>-86.49</v>
      </c>
      <c r="J17" s="29">
        <v>-65.03</v>
      </c>
    </row>
    <row r="18" spans="1:10" ht="16" x14ac:dyDescent="0.2">
      <c r="A18" s="15" t="s">
        <v>185</v>
      </c>
      <c r="B18" s="10"/>
      <c r="C18" s="11">
        <f>(C16/B16)-1</f>
        <v>0.54058199082470937</v>
      </c>
      <c r="D18" s="11">
        <f>(D16/C16)-1</f>
        <v>1.3133164241380206</v>
      </c>
      <c r="E18" s="11">
        <f>(E16/D16)-1</f>
        <v>0.50646629146210032</v>
      </c>
      <c r="F18" s="11">
        <f t="shared" ref="F18:J18" si="3">(F16/E16)-1</f>
        <v>3.4902726441715437E-2</v>
      </c>
      <c r="G18" s="11"/>
      <c r="H18" s="11">
        <f t="shared" si="3"/>
        <v>-3.870918141805535E-2</v>
      </c>
      <c r="I18" s="11">
        <f t="shared" si="3"/>
        <v>0.15342397280815745</v>
      </c>
      <c r="J18" s="11">
        <f t="shared" si="3"/>
        <v>-0.15787375300103135</v>
      </c>
    </row>
    <row r="19" spans="1:10" ht="16" x14ac:dyDescent="0.2">
      <c r="A19" s="3" t="s">
        <v>21</v>
      </c>
      <c r="B19" s="4">
        <v>1346000</v>
      </c>
      <c r="C19" s="4">
        <v>1594000</v>
      </c>
      <c r="D19" s="4">
        <v>2865000</v>
      </c>
      <c r="E19" s="4">
        <v>-18285000</v>
      </c>
      <c r="F19" s="5">
        <v>-33119000</v>
      </c>
      <c r="G19" s="4">
        <v>-5799000</v>
      </c>
      <c r="H19" s="4">
        <v>-8653000</v>
      </c>
      <c r="I19" s="4">
        <v>-9569000</v>
      </c>
      <c r="J19" s="4">
        <v>-9098000</v>
      </c>
    </row>
    <row r="20" spans="1:10" ht="16" x14ac:dyDescent="0.2">
      <c r="A20" s="3" t="s">
        <v>22</v>
      </c>
      <c r="B20" s="4">
        <v>1129000</v>
      </c>
      <c r="C20" s="4">
        <v>1170000</v>
      </c>
      <c r="D20" s="4">
        <v>585000</v>
      </c>
      <c r="E20" s="4">
        <v>-19578000</v>
      </c>
      <c r="F20" s="5">
        <v>-36693000</v>
      </c>
      <c r="G20" s="4">
        <v>-6580000</v>
      </c>
      <c r="H20" s="4">
        <v>-9301000</v>
      </c>
      <c r="I20" s="4">
        <v>-9928000</v>
      </c>
      <c r="J20" s="4">
        <v>-10884000</v>
      </c>
    </row>
    <row r="21" spans="1:10" ht="16" x14ac:dyDescent="0.2">
      <c r="A21" s="3" t="s">
        <v>23</v>
      </c>
      <c r="B21" s="4">
        <v>2015000</v>
      </c>
      <c r="C21" s="4">
        <v>1401000</v>
      </c>
      <c r="D21" s="4">
        <v>787000</v>
      </c>
      <c r="E21" s="4">
        <v>1830000</v>
      </c>
      <c r="F21" s="5">
        <v>2430000</v>
      </c>
      <c r="G21" s="4">
        <v>613000</v>
      </c>
      <c r="H21" s="4">
        <v>605000</v>
      </c>
      <c r="I21" s="4">
        <v>607000</v>
      </c>
      <c r="J21" s="4">
        <v>605000</v>
      </c>
    </row>
    <row r="22" spans="1:10" ht="16" x14ac:dyDescent="0.2">
      <c r="A22" s="3" t="s">
        <v>24</v>
      </c>
      <c r="B22" s="4">
        <v>886000</v>
      </c>
      <c r="C22" s="4">
        <v>231000</v>
      </c>
      <c r="D22" s="4">
        <v>202000</v>
      </c>
      <c r="E22" s="4">
        <v>21408000</v>
      </c>
      <c r="F22" s="5">
        <v>39123000</v>
      </c>
      <c r="G22" s="4">
        <v>7193000</v>
      </c>
      <c r="H22" s="4">
        <v>9906000</v>
      </c>
      <c r="I22" s="4">
        <v>10535000</v>
      </c>
      <c r="J22" s="4">
        <v>11489000</v>
      </c>
    </row>
    <row r="23" spans="1:10" ht="16" x14ac:dyDescent="0.2">
      <c r="A23" s="3" t="s">
        <v>25</v>
      </c>
      <c r="B23" s="4">
        <v>217000</v>
      </c>
      <c r="C23" s="4">
        <v>424000</v>
      </c>
      <c r="D23" s="4">
        <v>2280000</v>
      </c>
      <c r="E23" s="4">
        <v>1293000</v>
      </c>
      <c r="F23" s="5">
        <v>3574000</v>
      </c>
      <c r="G23" s="4">
        <v>781000</v>
      </c>
      <c r="H23" s="4">
        <v>648000</v>
      </c>
      <c r="I23" s="4">
        <v>359000</v>
      </c>
      <c r="J23" s="4">
        <v>1786000</v>
      </c>
    </row>
    <row r="24" spans="1:10" ht="16" x14ac:dyDescent="0.2">
      <c r="A24" s="3" t="s">
        <v>26</v>
      </c>
      <c r="B24" s="4">
        <v>-76330000</v>
      </c>
      <c r="C24" s="4">
        <v>-117113000</v>
      </c>
      <c r="D24" s="4">
        <v>-270097000</v>
      </c>
      <c r="E24" s="4">
        <v>-384291000</v>
      </c>
      <c r="F24" s="5">
        <v>-383508000</v>
      </c>
      <c r="G24" s="4">
        <v>-98259000</v>
      </c>
      <c r="H24" s="4">
        <v>-91377000</v>
      </c>
      <c r="I24" s="4">
        <v>-105808000</v>
      </c>
      <c r="J24" s="4">
        <v>-88064000</v>
      </c>
    </row>
    <row r="25" spans="1:10" ht="16" x14ac:dyDescent="0.2">
      <c r="A25" s="3" t="s">
        <v>27</v>
      </c>
      <c r="B25" s="4">
        <v>237000</v>
      </c>
      <c r="C25" s="4">
        <v>460000</v>
      </c>
      <c r="D25" s="4">
        <v>1004000</v>
      </c>
      <c r="E25" s="4">
        <v>-5613000</v>
      </c>
      <c r="F25" s="5">
        <v>5437000</v>
      </c>
      <c r="G25" s="4">
        <v>599000</v>
      </c>
      <c r="H25" s="4">
        <v>2303000</v>
      </c>
      <c r="I25" s="4">
        <v>1061000</v>
      </c>
      <c r="J25" s="4">
        <v>1474000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-76567000</v>
      </c>
      <c r="C27" s="4">
        <v>-117573000</v>
      </c>
      <c r="D27" s="4">
        <v>-271101000</v>
      </c>
      <c r="E27" s="4">
        <v>-378678000</v>
      </c>
      <c r="F27" s="5">
        <v>-388945000</v>
      </c>
      <c r="G27" s="4">
        <v>-98858000</v>
      </c>
      <c r="H27" s="4">
        <v>-93680000</v>
      </c>
      <c r="I27" s="4">
        <v>-106869000</v>
      </c>
      <c r="J27" s="4">
        <v>-89538000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-76567000</v>
      </c>
      <c r="C31" s="4">
        <v>-117573000</v>
      </c>
      <c r="D31" s="4">
        <v>-271101000</v>
      </c>
      <c r="E31" s="4">
        <v>-378678000</v>
      </c>
      <c r="F31" s="5">
        <v>-388945000</v>
      </c>
      <c r="G31" s="4">
        <v>-98858000</v>
      </c>
      <c r="H31" s="4">
        <v>-93680000</v>
      </c>
      <c r="I31" s="4">
        <v>-106869000</v>
      </c>
      <c r="J31" s="4">
        <v>-89538000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28" t="s">
        <v>35</v>
      </c>
      <c r="B33" s="26">
        <v>-76567000</v>
      </c>
      <c r="C33" s="26">
        <v>-117573000</v>
      </c>
      <c r="D33" s="26">
        <v>-271101000</v>
      </c>
      <c r="E33" s="26">
        <v>-378678000</v>
      </c>
      <c r="F33" s="27">
        <v>-388945000</v>
      </c>
      <c r="G33" s="26">
        <v>-98858000</v>
      </c>
      <c r="H33" s="26">
        <v>-93680000</v>
      </c>
      <c r="I33" s="26">
        <v>-106869000</v>
      </c>
      <c r="J33" s="26">
        <v>-89538000</v>
      </c>
    </row>
    <row r="34" spans="1:10" ht="16" x14ac:dyDescent="0.2">
      <c r="A34" s="24" t="s">
        <v>51</v>
      </c>
      <c r="B34" s="29">
        <v>-164.75</v>
      </c>
      <c r="C34" s="29">
        <v>-126.35</v>
      </c>
      <c r="D34" s="29">
        <v>-132.37</v>
      </c>
      <c r="E34" s="29">
        <v>-89.7</v>
      </c>
      <c r="F34" s="30">
        <v>-74.19</v>
      </c>
      <c r="G34" s="29">
        <v>-85.72</v>
      </c>
      <c r="H34" s="29">
        <v>-74.290000000000006</v>
      </c>
      <c r="I34" s="29">
        <v>-80.12</v>
      </c>
      <c r="J34" s="29">
        <v>-59.92</v>
      </c>
    </row>
    <row r="35" spans="1:10" ht="16" x14ac:dyDescent="0.2">
      <c r="A35" s="16" t="s">
        <v>186</v>
      </c>
      <c r="B35" s="17"/>
      <c r="C35" s="14">
        <f>(C33/B33)-1</f>
        <v>0.53555709378714078</v>
      </c>
      <c r="D35" s="14">
        <f>(D33/C33)-1</f>
        <v>1.3058100073996579</v>
      </c>
      <c r="E35" s="14">
        <f>(E33/D33)-1</f>
        <v>0.39681520909181445</v>
      </c>
      <c r="F35" s="14">
        <f t="shared" ref="F35:J35" si="4">(F33/E33)-1</f>
        <v>2.7112744865030347E-2</v>
      </c>
      <c r="G35" s="14"/>
      <c r="H35" s="14">
        <f t="shared" si="4"/>
        <v>-5.2378158570879463E-2</v>
      </c>
      <c r="I35" s="14">
        <f t="shared" si="4"/>
        <v>0.14078778821520066</v>
      </c>
      <c r="J35" s="14">
        <f t="shared" si="4"/>
        <v>-0.16217050781798281</v>
      </c>
    </row>
    <row r="36" spans="1:10" ht="16" x14ac:dyDescent="0.2">
      <c r="A36" s="18" t="s">
        <v>187</v>
      </c>
      <c r="B36" s="19">
        <f t="shared" ref="B36:J36" si="5">(B16*(1-0.25))/(B126+B105+B96)</f>
        <v>0.27484788505241553</v>
      </c>
      <c r="C36" s="19">
        <f t="shared" si="5"/>
        <v>0.31115726075807532</v>
      </c>
      <c r="D36" s="19">
        <f t="shared" si="5"/>
        <v>-0.11930937430798134</v>
      </c>
      <c r="E36" s="19">
        <f t="shared" si="5"/>
        <v>-0.17932872002323483</v>
      </c>
      <c r="F36" s="19">
        <f t="shared" si="5"/>
        <v>-0.19354294739776087</v>
      </c>
      <c r="G36" s="19">
        <f t="shared" si="5"/>
        <v>-4.5642329666242272E-2</v>
      </c>
      <c r="H36" s="19">
        <f t="shared" si="5"/>
        <v>-4.455867181333259E-2</v>
      </c>
      <c r="I36" s="19">
        <f t="shared" si="5"/>
        <v>-5.2646572818853606E-2</v>
      </c>
      <c r="J36" s="19">
        <f t="shared" si="5"/>
        <v>-4.5136344632155961E-2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-76567000</v>
      </c>
      <c r="C39" s="4">
        <v>-117573000</v>
      </c>
      <c r="D39" s="4">
        <v>-271101000</v>
      </c>
      <c r="E39" s="4">
        <v>-378678000</v>
      </c>
      <c r="F39" s="5">
        <v>-388945000</v>
      </c>
      <c r="G39" s="4">
        <v>-98858000</v>
      </c>
      <c r="H39" s="4">
        <v>-93680000</v>
      </c>
      <c r="I39" s="4">
        <v>-106869000</v>
      </c>
      <c r="J39" s="4">
        <v>-89538000</v>
      </c>
    </row>
    <row r="40" spans="1:10" ht="16" x14ac:dyDescent="0.2">
      <c r="A40" s="3" t="s">
        <v>39</v>
      </c>
      <c r="B40" s="4" t="s">
        <v>15</v>
      </c>
      <c r="C40" s="4" t="s">
        <v>15</v>
      </c>
      <c r="D40" s="4" t="s">
        <v>15</v>
      </c>
      <c r="E40" s="4" t="s">
        <v>15</v>
      </c>
      <c r="F40" s="5">
        <v>286428569</v>
      </c>
      <c r="G40" s="4">
        <v>280635022</v>
      </c>
      <c r="H40" s="4">
        <v>283608149</v>
      </c>
      <c r="I40" s="4">
        <v>288300705</v>
      </c>
      <c r="J40" s="4">
        <v>293170401</v>
      </c>
    </row>
    <row r="41" spans="1:10" ht="16" x14ac:dyDescent="0.2">
      <c r="A41" s="3" t="s">
        <v>40</v>
      </c>
      <c r="B41" s="4" t="s">
        <v>15</v>
      </c>
      <c r="C41" s="4" t="s">
        <v>15</v>
      </c>
      <c r="D41" s="4" t="s">
        <v>15</v>
      </c>
      <c r="E41" s="4" t="s">
        <v>15</v>
      </c>
      <c r="F41" s="6">
        <v>-1.36</v>
      </c>
      <c r="G41" s="7">
        <v>-0.35</v>
      </c>
      <c r="H41" s="7">
        <v>-0.33</v>
      </c>
      <c r="I41" s="7">
        <v>-0.37</v>
      </c>
      <c r="J41" s="7">
        <v>-0.31</v>
      </c>
    </row>
    <row r="42" spans="1:10" ht="16" x14ac:dyDescent="0.2">
      <c r="A42" s="3" t="s">
        <v>41</v>
      </c>
      <c r="B42" s="4" t="s">
        <v>15</v>
      </c>
      <c r="C42" s="4" t="s">
        <v>15</v>
      </c>
      <c r="D42" s="4" t="s">
        <v>15</v>
      </c>
      <c r="E42" s="4" t="s">
        <v>15</v>
      </c>
      <c r="F42" s="6">
        <v>-1.36</v>
      </c>
      <c r="G42" s="7">
        <v>-0.35</v>
      </c>
      <c r="H42" s="7">
        <v>-0.33</v>
      </c>
      <c r="I42" s="7">
        <v>-0.37</v>
      </c>
      <c r="J42" s="7">
        <v>-0.31</v>
      </c>
    </row>
    <row r="43" spans="1:10" ht="16" x14ac:dyDescent="0.2">
      <c r="A43" s="3" t="s">
        <v>42</v>
      </c>
      <c r="B43" s="4" t="s">
        <v>15</v>
      </c>
      <c r="C43" s="4" t="s">
        <v>15</v>
      </c>
      <c r="D43" s="4" t="s">
        <v>15</v>
      </c>
      <c r="E43" s="4" t="s">
        <v>15</v>
      </c>
      <c r="F43" s="5">
        <v>286428569</v>
      </c>
      <c r="G43" s="4">
        <v>280635022</v>
      </c>
      <c r="H43" s="4">
        <v>283608149</v>
      </c>
      <c r="I43" s="4">
        <v>288300705</v>
      </c>
      <c r="J43" s="4">
        <v>293170401</v>
      </c>
    </row>
    <row r="44" spans="1:10" ht="16" x14ac:dyDescent="0.2">
      <c r="A44" s="3" t="s">
        <v>43</v>
      </c>
      <c r="B44" s="4" t="s">
        <v>15</v>
      </c>
      <c r="C44" s="4" t="s">
        <v>15</v>
      </c>
      <c r="D44" s="4" t="s">
        <v>15</v>
      </c>
      <c r="E44" s="4" t="s">
        <v>15</v>
      </c>
      <c r="F44" s="6">
        <v>-1.36</v>
      </c>
      <c r="G44" s="7">
        <v>-0.35</v>
      </c>
      <c r="H44" s="7">
        <v>-0.33</v>
      </c>
      <c r="I44" s="7">
        <v>-0.37</v>
      </c>
      <c r="J44" s="7">
        <v>-0.31</v>
      </c>
    </row>
    <row r="45" spans="1:10" ht="16" x14ac:dyDescent="0.2">
      <c r="A45" s="3" t="s">
        <v>44</v>
      </c>
      <c r="B45" s="4" t="s">
        <v>15</v>
      </c>
      <c r="C45" s="4" t="s">
        <v>15</v>
      </c>
      <c r="D45" s="4" t="s">
        <v>15</v>
      </c>
      <c r="E45" s="4" t="s">
        <v>15</v>
      </c>
      <c r="F45" s="6">
        <v>-1.36</v>
      </c>
      <c r="G45" s="7">
        <v>-0.35</v>
      </c>
      <c r="H45" s="7">
        <v>-0.33</v>
      </c>
      <c r="I45" s="7">
        <v>-0.37</v>
      </c>
      <c r="J45" s="7">
        <v>-0.31</v>
      </c>
    </row>
    <row r="46" spans="1:10" ht="16" x14ac:dyDescent="0.2">
      <c r="A46" s="3" t="s">
        <v>45</v>
      </c>
      <c r="B46" s="4">
        <v>-73129000</v>
      </c>
      <c r="C46" s="4">
        <v>-112682000</v>
      </c>
      <c r="D46" s="4">
        <v>-259323000</v>
      </c>
      <c r="E46" s="4">
        <v>-372855000</v>
      </c>
      <c r="F46" s="5">
        <v>-379077000</v>
      </c>
      <c r="G46" s="4">
        <v>-94755000</v>
      </c>
      <c r="H46" s="4">
        <v>-90406000</v>
      </c>
      <c r="I46" s="4">
        <v>-106262000</v>
      </c>
      <c r="J46" s="4">
        <v>-87654000</v>
      </c>
    </row>
    <row r="47" spans="1:10" ht="16" x14ac:dyDescent="0.2">
      <c r="A47" s="3" t="s">
        <v>46</v>
      </c>
      <c r="B47" s="7">
        <v>-157.35</v>
      </c>
      <c r="C47" s="7">
        <v>-121.09</v>
      </c>
      <c r="D47" s="7">
        <v>-126.62</v>
      </c>
      <c r="E47" s="7">
        <v>-88.32</v>
      </c>
      <c r="F47" s="6">
        <v>-72.31</v>
      </c>
      <c r="G47" s="7">
        <v>-97.17</v>
      </c>
      <c r="H47" s="7">
        <v>-88.32</v>
      </c>
      <c r="I47" s="7">
        <v>-81.900000000000006</v>
      </c>
      <c r="J47" s="7">
        <v>-72.31</v>
      </c>
    </row>
    <row r="48" spans="1:10" ht="16" x14ac:dyDescent="0.2">
      <c r="A48" s="3" t="s">
        <v>47</v>
      </c>
      <c r="B48" s="4">
        <v>-74984000</v>
      </c>
      <c r="C48" s="4">
        <v>-115519000</v>
      </c>
      <c r="D48" s="4">
        <v>-267232000</v>
      </c>
      <c r="E48" s="4">
        <v>-402576000</v>
      </c>
      <c r="F48" s="5">
        <v>-416627000</v>
      </c>
      <c r="G48" s="4">
        <v>-104058000</v>
      </c>
      <c r="H48" s="4">
        <v>-100030000</v>
      </c>
      <c r="I48" s="4">
        <v>-115377000</v>
      </c>
      <c r="J48" s="4">
        <v>-97162000</v>
      </c>
    </row>
    <row r="49" spans="1:10" ht="16" x14ac:dyDescent="0.2">
      <c r="A49" s="3" t="s">
        <v>48</v>
      </c>
      <c r="B49" s="4">
        <v>-74984000</v>
      </c>
      <c r="C49" s="4">
        <v>-115519000</v>
      </c>
      <c r="D49" s="4">
        <v>-267232000</v>
      </c>
      <c r="E49" s="4">
        <v>-402576000</v>
      </c>
      <c r="F49" s="5">
        <v>-416627000</v>
      </c>
      <c r="G49" s="4">
        <v>-104058000</v>
      </c>
      <c r="H49" s="4">
        <v>-100030000</v>
      </c>
      <c r="I49" s="4">
        <v>-115377000</v>
      </c>
      <c r="J49" s="4">
        <v>-97162000</v>
      </c>
    </row>
    <row r="50" spans="1:10" ht="16" x14ac:dyDescent="0.2">
      <c r="A50" s="3" t="s">
        <v>52</v>
      </c>
      <c r="B50" s="4" t="s">
        <v>15</v>
      </c>
      <c r="C50" s="4" t="s">
        <v>15</v>
      </c>
      <c r="D50" s="4" t="s">
        <v>15</v>
      </c>
      <c r="E50" s="4" t="s">
        <v>15</v>
      </c>
      <c r="F50" s="5" t="s">
        <v>15</v>
      </c>
      <c r="G50" s="4" t="s">
        <v>15</v>
      </c>
      <c r="H50" s="4" t="s">
        <v>15</v>
      </c>
      <c r="I50" s="4" t="s">
        <v>15</v>
      </c>
      <c r="J50" s="4" t="s">
        <v>15</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1855000</v>
      </c>
      <c r="C52" s="4">
        <v>2837000</v>
      </c>
      <c r="D52" s="4">
        <v>7909000</v>
      </c>
      <c r="E52" s="4">
        <v>29721000</v>
      </c>
      <c r="F52" s="5">
        <v>37550000</v>
      </c>
      <c r="G52" s="4">
        <v>9303000</v>
      </c>
      <c r="H52" s="4">
        <v>9624000</v>
      </c>
      <c r="I52" s="4">
        <v>9115000</v>
      </c>
      <c r="J52" s="4">
        <v>9508000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88716000</v>
      </c>
      <c r="C55" s="4">
        <v>464057000</v>
      </c>
      <c r="D55" s="4">
        <v>1817654000</v>
      </c>
      <c r="E55" s="4">
        <v>914733000</v>
      </c>
      <c r="F55" s="5">
        <v>994761000</v>
      </c>
      <c r="G55" s="4">
        <v>952501000</v>
      </c>
      <c r="H55" s="4">
        <v>914733000</v>
      </c>
      <c r="I55" s="4">
        <v>985533000</v>
      </c>
      <c r="J55" s="4">
        <v>994761000</v>
      </c>
    </row>
    <row r="56" spans="1:10" ht="16" x14ac:dyDescent="0.2">
      <c r="A56" s="3" t="s">
        <v>56</v>
      </c>
      <c r="B56" s="4">
        <v>45700000</v>
      </c>
      <c r="C56" s="4">
        <v>395836000</v>
      </c>
      <c r="D56" s="4">
        <v>1669678000</v>
      </c>
      <c r="E56" s="4">
        <v>623525000</v>
      </c>
      <c r="F56" s="5">
        <v>731596000</v>
      </c>
      <c r="G56" s="4">
        <v>701284000</v>
      </c>
      <c r="H56" s="4">
        <v>623525000</v>
      </c>
      <c r="I56" s="4">
        <v>718227000</v>
      </c>
      <c r="J56" s="4">
        <v>731596000</v>
      </c>
    </row>
    <row r="57" spans="1:10" ht="16" x14ac:dyDescent="0.2">
      <c r="A57" s="3" t="s">
        <v>57</v>
      </c>
      <c r="B57" s="4">
        <v>45360000</v>
      </c>
      <c r="C57" s="4">
        <v>395472000</v>
      </c>
      <c r="D57" s="4">
        <v>1669304000</v>
      </c>
      <c r="E57" s="4">
        <v>137941000</v>
      </c>
      <c r="F57" s="5">
        <v>133065000</v>
      </c>
      <c r="G57" s="4">
        <v>210472000</v>
      </c>
      <c r="H57" s="4">
        <v>137941000</v>
      </c>
      <c r="I57" s="4">
        <v>150099000</v>
      </c>
      <c r="J57" s="4">
        <v>133065000</v>
      </c>
    </row>
    <row r="58" spans="1:10" ht="16" x14ac:dyDescent="0.2">
      <c r="A58" s="3" t="s">
        <v>58</v>
      </c>
      <c r="B58" s="4">
        <v>340000</v>
      </c>
      <c r="C58" s="4">
        <v>364000</v>
      </c>
      <c r="D58" s="4">
        <v>374000</v>
      </c>
      <c r="E58" s="4">
        <v>485584000</v>
      </c>
      <c r="F58" s="5">
        <v>598531000</v>
      </c>
      <c r="G58" s="4">
        <v>490812000</v>
      </c>
      <c r="H58" s="4">
        <v>485584000</v>
      </c>
      <c r="I58" s="4">
        <v>568128000</v>
      </c>
      <c r="J58" s="4">
        <v>598531000</v>
      </c>
    </row>
    <row r="59" spans="1:10" ht="16" x14ac:dyDescent="0.2">
      <c r="A59" s="3" t="s">
        <v>59</v>
      </c>
      <c r="B59" s="4">
        <v>30995000</v>
      </c>
      <c r="C59" s="4">
        <v>39315000</v>
      </c>
      <c r="D59" s="4">
        <v>101491000</v>
      </c>
      <c r="E59" s="4">
        <v>151492000</v>
      </c>
      <c r="F59" s="5">
        <v>124525000</v>
      </c>
      <c r="G59" s="4">
        <v>119365000</v>
      </c>
      <c r="H59" s="4">
        <v>151492000</v>
      </c>
      <c r="I59" s="4">
        <v>128216000</v>
      </c>
      <c r="J59" s="4">
        <v>124525000</v>
      </c>
    </row>
    <row r="60" spans="1:10" ht="16" x14ac:dyDescent="0.2">
      <c r="A60" s="3" t="s">
        <v>60</v>
      </c>
      <c r="B60" s="4">
        <v>30995000</v>
      </c>
      <c r="C60" s="4">
        <v>39315000</v>
      </c>
      <c r="D60" s="4">
        <v>101491000</v>
      </c>
      <c r="E60" s="4">
        <v>151492000</v>
      </c>
      <c r="F60" s="5">
        <v>124525000</v>
      </c>
      <c r="G60" s="4">
        <v>119365000</v>
      </c>
      <c r="H60" s="4">
        <v>151492000</v>
      </c>
      <c r="I60" s="4">
        <v>128216000</v>
      </c>
      <c r="J60" s="4">
        <v>124525000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12021000</v>
      </c>
      <c r="C70" s="4">
        <v>28906000</v>
      </c>
      <c r="D70" s="4">
        <v>46485000</v>
      </c>
      <c r="E70" s="4">
        <v>139716000</v>
      </c>
      <c r="F70" s="5">
        <v>138640000</v>
      </c>
      <c r="G70" s="4">
        <v>131852000</v>
      </c>
      <c r="H70" s="4">
        <v>139716000</v>
      </c>
      <c r="I70" s="4">
        <v>139090000</v>
      </c>
      <c r="J70" s="4">
        <v>138640000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23738000</v>
      </c>
      <c r="C76" s="4">
        <v>56503000</v>
      </c>
      <c r="D76" s="4">
        <v>224527000</v>
      </c>
      <c r="E76" s="4">
        <v>1344180000</v>
      </c>
      <c r="F76" s="5">
        <v>1212436000</v>
      </c>
      <c r="G76" s="4">
        <v>1262180000</v>
      </c>
      <c r="H76" s="4">
        <v>1344180000</v>
      </c>
      <c r="I76" s="4">
        <v>1227252000</v>
      </c>
      <c r="J76" s="4">
        <v>1212436000</v>
      </c>
    </row>
    <row r="77" spans="1:10" ht="16" x14ac:dyDescent="0.2">
      <c r="A77" s="3" t="s">
        <v>77</v>
      </c>
      <c r="B77" s="4">
        <v>8329000</v>
      </c>
      <c r="C77" s="4">
        <v>31399000</v>
      </c>
      <c r="D77" s="4">
        <v>38992000</v>
      </c>
      <c r="E77" s="4">
        <v>46389000</v>
      </c>
      <c r="F77" s="5">
        <v>65893000</v>
      </c>
      <c r="G77" s="4">
        <v>60644000</v>
      </c>
      <c r="H77" s="4">
        <v>46389000</v>
      </c>
      <c r="I77" s="4">
        <v>64071000</v>
      </c>
      <c r="J77" s="4">
        <v>65893000</v>
      </c>
    </row>
    <row r="78" spans="1:10" ht="16" x14ac:dyDescent="0.2">
      <c r="A78" s="3" t="s">
        <v>78</v>
      </c>
      <c r="B78" s="4">
        <v>12474000</v>
      </c>
      <c r="C78" s="4">
        <v>36804000</v>
      </c>
      <c r="D78" s="4">
        <v>48802000</v>
      </c>
      <c r="E78" s="4">
        <v>62305000</v>
      </c>
      <c r="F78" s="5">
        <v>65893000</v>
      </c>
      <c r="G78" s="4">
        <v>60644000</v>
      </c>
      <c r="H78" s="4">
        <v>62305000</v>
      </c>
      <c r="I78" s="4">
        <v>64071000</v>
      </c>
      <c r="J78" s="4">
        <v>65893000</v>
      </c>
    </row>
    <row r="79" spans="1:10" ht="16" x14ac:dyDescent="0.2">
      <c r="A79" s="3" t="s">
        <v>79</v>
      </c>
      <c r="B79" s="4">
        <v>4145000</v>
      </c>
      <c r="C79" s="4">
        <v>5405000</v>
      </c>
      <c r="D79" s="4">
        <v>9810000</v>
      </c>
      <c r="E79" s="4">
        <v>15916000</v>
      </c>
      <c r="F79" s="5" t="s">
        <v>15</v>
      </c>
      <c r="G79" s="4" t="s">
        <v>15</v>
      </c>
      <c r="H79" s="4">
        <v>15916000</v>
      </c>
      <c r="I79" s="4" t="s">
        <v>15</v>
      </c>
      <c r="J79" s="4" t="s">
        <v>15</v>
      </c>
    </row>
    <row r="80" spans="1:10" ht="16" x14ac:dyDescent="0.2">
      <c r="A80" s="3" t="s">
        <v>80</v>
      </c>
      <c r="B80" s="4" t="s">
        <v>15</v>
      </c>
      <c r="C80" s="4" t="s">
        <v>15</v>
      </c>
      <c r="D80" s="4" t="s">
        <v>15</v>
      </c>
      <c r="E80" s="4">
        <v>535422000</v>
      </c>
      <c r="F80" s="5">
        <v>410307000</v>
      </c>
      <c r="G80" s="4">
        <v>456722000</v>
      </c>
      <c r="H80" s="4">
        <v>535422000</v>
      </c>
      <c r="I80" s="4">
        <v>423884000</v>
      </c>
      <c r="J80" s="4">
        <v>410307000</v>
      </c>
    </row>
    <row r="81" spans="1:10" ht="16" x14ac:dyDescent="0.2">
      <c r="A81" s="3" t="s">
        <v>81</v>
      </c>
      <c r="B81" s="4" t="s">
        <v>15</v>
      </c>
      <c r="C81" s="4" t="s">
        <v>15</v>
      </c>
      <c r="D81" s="4" t="s">
        <v>15</v>
      </c>
      <c r="E81" s="4">
        <v>535422000</v>
      </c>
      <c r="F81" s="5">
        <v>410307000</v>
      </c>
      <c r="G81" s="4">
        <v>456722000</v>
      </c>
      <c r="H81" s="4">
        <v>535422000</v>
      </c>
      <c r="I81" s="4">
        <v>423884000</v>
      </c>
      <c r="J81" s="4">
        <v>410307000</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15409000</v>
      </c>
      <c r="C83" s="4">
        <v>25104000</v>
      </c>
      <c r="D83" s="4">
        <v>185535000</v>
      </c>
      <c r="E83" s="4">
        <v>762369000</v>
      </c>
      <c r="F83" s="5">
        <v>736236000</v>
      </c>
      <c r="G83" s="4">
        <v>744814000</v>
      </c>
      <c r="H83" s="4">
        <v>762369000</v>
      </c>
      <c r="I83" s="4">
        <v>739297000</v>
      </c>
      <c r="J83" s="4">
        <v>736236000</v>
      </c>
    </row>
    <row r="84" spans="1:10" ht="16" x14ac:dyDescent="0.2">
      <c r="A84" s="3" t="s">
        <v>84</v>
      </c>
      <c r="B84" s="4">
        <v>263000</v>
      </c>
      <c r="C84" s="4">
        <v>470000</v>
      </c>
      <c r="D84" s="4">
        <v>124000000</v>
      </c>
      <c r="E84" s="4">
        <v>685401000</v>
      </c>
      <c r="F84" s="5">
        <v>671435000</v>
      </c>
      <c r="G84" s="4">
        <v>692642000</v>
      </c>
      <c r="H84" s="4">
        <v>685401000</v>
      </c>
      <c r="I84" s="4">
        <v>678592000</v>
      </c>
      <c r="J84" s="4">
        <v>671435000</v>
      </c>
    </row>
    <row r="85" spans="1:10" ht="16" x14ac:dyDescent="0.2">
      <c r="A85" s="3" t="s">
        <v>85</v>
      </c>
      <c r="B85" s="4" t="s">
        <v>15</v>
      </c>
      <c r="C85" s="4" t="s">
        <v>15</v>
      </c>
      <c r="D85" s="4">
        <v>108193000</v>
      </c>
      <c r="E85" s="4">
        <v>540308000</v>
      </c>
      <c r="F85" s="5">
        <v>540308000</v>
      </c>
      <c r="G85" s="4">
        <v>540308000</v>
      </c>
      <c r="H85" s="4">
        <v>540308000</v>
      </c>
      <c r="I85" s="4">
        <v>540308000</v>
      </c>
      <c r="J85" s="4">
        <v>540308000</v>
      </c>
    </row>
    <row r="86" spans="1:10" ht="16" x14ac:dyDescent="0.2">
      <c r="A86" s="3" t="s">
        <v>86</v>
      </c>
      <c r="B86" s="4">
        <v>263000</v>
      </c>
      <c r="C86" s="4">
        <v>470000</v>
      </c>
      <c r="D86" s="4">
        <v>15807000</v>
      </c>
      <c r="E86" s="4">
        <v>145093000</v>
      </c>
      <c r="F86" s="5">
        <v>131127000</v>
      </c>
      <c r="G86" s="4">
        <v>152334000</v>
      </c>
      <c r="H86" s="4">
        <v>145093000</v>
      </c>
      <c r="I86" s="4">
        <v>138284000</v>
      </c>
      <c r="J86" s="4">
        <v>131127000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15146000</v>
      </c>
      <c r="C89" s="4">
        <v>24634000</v>
      </c>
      <c r="D89" s="4">
        <v>61535000</v>
      </c>
      <c r="E89" s="4">
        <v>76968000</v>
      </c>
      <c r="F89" s="5">
        <v>64801000</v>
      </c>
      <c r="G89" s="4">
        <v>52172000</v>
      </c>
      <c r="H89" s="4">
        <v>76968000</v>
      </c>
      <c r="I89" s="4">
        <v>60705000</v>
      </c>
      <c r="J89" s="4">
        <v>64801000</v>
      </c>
    </row>
    <row r="90" spans="1:10" ht="16" x14ac:dyDescent="0.2">
      <c r="A90" s="3" t="s">
        <v>90</v>
      </c>
      <c r="B90" s="4">
        <v>112454000</v>
      </c>
      <c r="C90" s="4">
        <v>520560000</v>
      </c>
      <c r="D90" s="4">
        <v>2042181000</v>
      </c>
      <c r="E90" s="4">
        <v>2258913000</v>
      </c>
      <c r="F90" s="5">
        <v>2207197000</v>
      </c>
      <c r="G90" s="4">
        <v>2214681000</v>
      </c>
      <c r="H90" s="4">
        <v>2258913000</v>
      </c>
      <c r="I90" s="4">
        <v>2212785000</v>
      </c>
      <c r="J90" s="4">
        <v>2207197000</v>
      </c>
    </row>
    <row r="91" spans="1:10" ht="16" x14ac:dyDescent="0.2">
      <c r="A91" s="3" t="s">
        <v>91</v>
      </c>
      <c r="B91" s="4">
        <v>18913000</v>
      </c>
      <c r="C91" s="4">
        <v>35627000</v>
      </c>
      <c r="D91" s="4">
        <v>93751000</v>
      </c>
      <c r="E91" s="4">
        <v>166184000</v>
      </c>
      <c r="F91" s="5">
        <v>168716000</v>
      </c>
      <c r="G91" s="4">
        <v>145334000</v>
      </c>
      <c r="H91" s="4">
        <v>166184000</v>
      </c>
      <c r="I91" s="4">
        <v>158613000</v>
      </c>
      <c r="J91" s="4">
        <v>168716000</v>
      </c>
    </row>
    <row r="92" spans="1:10" ht="16" x14ac:dyDescent="0.2">
      <c r="A92" s="3" t="s">
        <v>92</v>
      </c>
      <c r="B92" s="4">
        <v>4624000</v>
      </c>
      <c r="C92" s="4">
        <v>11822000</v>
      </c>
      <c r="D92" s="4">
        <v>9944000</v>
      </c>
      <c r="E92" s="4">
        <v>11214000</v>
      </c>
      <c r="F92" s="5">
        <v>13840000</v>
      </c>
      <c r="G92" s="4">
        <v>6592000</v>
      </c>
      <c r="H92" s="4">
        <v>11214000</v>
      </c>
      <c r="I92" s="4">
        <v>13215000</v>
      </c>
      <c r="J92" s="4">
        <v>13840000</v>
      </c>
    </row>
    <row r="93" spans="1:10" ht="16" x14ac:dyDescent="0.2">
      <c r="A93" s="3" t="s">
        <v>93</v>
      </c>
      <c r="B93" s="4" t="s">
        <v>15</v>
      </c>
      <c r="C93" s="4" t="s">
        <v>15</v>
      </c>
      <c r="D93" s="4" t="s">
        <v>15</v>
      </c>
      <c r="E93" s="4" t="s">
        <v>15</v>
      </c>
      <c r="F93" s="5" t="s">
        <v>15</v>
      </c>
      <c r="G93" s="4" t="s">
        <v>15</v>
      </c>
      <c r="H93" s="4" t="s">
        <v>15</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14289000</v>
      </c>
      <c r="C95" s="4">
        <v>23805000</v>
      </c>
      <c r="D95" s="4">
        <v>83807000</v>
      </c>
      <c r="E95" s="4">
        <v>154970000</v>
      </c>
      <c r="F95" s="5">
        <v>154876000</v>
      </c>
      <c r="G95" s="4">
        <v>138742000</v>
      </c>
      <c r="H95" s="4">
        <v>154970000</v>
      </c>
      <c r="I95" s="4">
        <v>145398000</v>
      </c>
      <c r="J95" s="4">
        <v>154876000</v>
      </c>
    </row>
    <row r="96" spans="1:10" ht="16" x14ac:dyDescent="0.2">
      <c r="A96" s="3" t="s">
        <v>96</v>
      </c>
      <c r="B96" s="4">
        <v>0</v>
      </c>
      <c r="C96" s="4">
        <v>3634000</v>
      </c>
      <c r="D96" s="4">
        <v>4613000</v>
      </c>
      <c r="E96" s="4">
        <v>3895000</v>
      </c>
      <c r="F96" s="5">
        <v>4637000</v>
      </c>
      <c r="G96" s="4">
        <v>4000000</v>
      </c>
      <c r="H96" s="4">
        <v>3895000</v>
      </c>
      <c r="I96" s="4">
        <v>4508000</v>
      </c>
      <c r="J96" s="4">
        <v>4637000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t="s">
        <v>15</v>
      </c>
      <c r="C98" s="4">
        <v>3634000</v>
      </c>
      <c r="D98" s="4">
        <v>4613000</v>
      </c>
      <c r="E98" s="4">
        <v>3895000</v>
      </c>
      <c r="F98" s="5">
        <v>4637000</v>
      </c>
      <c r="G98" s="4">
        <v>4000000</v>
      </c>
      <c r="H98" s="4">
        <v>3895000</v>
      </c>
      <c r="I98" s="4">
        <v>4508000</v>
      </c>
      <c r="J98" s="4">
        <v>4637000</v>
      </c>
    </row>
    <row r="99" spans="1:10" ht="16" x14ac:dyDescent="0.2">
      <c r="A99" s="3" t="s">
        <v>99</v>
      </c>
      <c r="B99" s="4">
        <v>52823000</v>
      </c>
      <c r="C99" s="4">
        <v>89645000</v>
      </c>
      <c r="D99" s="4">
        <v>182957000</v>
      </c>
      <c r="E99" s="4">
        <v>303200000</v>
      </c>
      <c r="F99" s="5">
        <v>325019000</v>
      </c>
      <c r="G99" s="4">
        <v>255501000</v>
      </c>
      <c r="H99" s="4">
        <v>303200000</v>
      </c>
      <c r="I99" s="4">
        <v>309806000</v>
      </c>
      <c r="J99" s="4">
        <v>325019000</v>
      </c>
    </row>
    <row r="100" spans="1:10" ht="16" x14ac:dyDescent="0.2">
      <c r="A100" s="3" t="s">
        <v>100</v>
      </c>
      <c r="B100" s="4">
        <v>52823000</v>
      </c>
      <c r="C100" s="4">
        <v>89645000</v>
      </c>
      <c r="D100" s="4">
        <v>182957000</v>
      </c>
      <c r="E100" s="4">
        <v>303200000</v>
      </c>
      <c r="F100" s="5">
        <v>325019000</v>
      </c>
      <c r="G100" s="4">
        <v>255501000</v>
      </c>
      <c r="H100" s="4">
        <v>303200000</v>
      </c>
      <c r="I100" s="4">
        <v>309806000</v>
      </c>
      <c r="J100" s="4">
        <v>325019000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t="s">
        <v>15</v>
      </c>
      <c r="C103" s="4" t="s">
        <v>15</v>
      </c>
      <c r="D103" s="4" t="s">
        <v>15</v>
      </c>
      <c r="E103" s="4" t="s">
        <v>15</v>
      </c>
      <c r="F103" s="5" t="s">
        <v>15</v>
      </c>
      <c r="G103" s="4" t="s">
        <v>15</v>
      </c>
      <c r="H103" s="4" t="s">
        <v>15</v>
      </c>
      <c r="I103" s="4" t="s">
        <v>15</v>
      </c>
      <c r="J103" s="4" t="s">
        <v>15</v>
      </c>
    </row>
    <row r="104" spans="1:10" ht="16" x14ac:dyDescent="0.2">
      <c r="A104" s="3" t="s">
        <v>104</v>
      </c>
      <c r="B104" s="4">
        <v>71736000</v>
      </c>
      <c r="C104" s="4">
        <v>128906000</v>
      </c>
      <c r="D104" s="4">
        <v>281321000</v>
      </c>
      <c r="E104" s="4">
        <v>473279000</v>
      </c>
      <c r="F104" s="5">
        <v>498372000</v>
      </c>
      <c r="G104" s="4">
        <v>404835000</v>
      </c>
      <c r="H104" s="4">
        <v>473279000</v>
      </c>
      <c r="I104" s="4">
        <v>472927000</v>
      </c>
      <c r="J104" s="4">
        <v>498372000</v>
      </c>
    </row>
    <row r="105" spans="1:10" ht="16" x14ac:dyDescent="0.2">
      <c r="A105" s="3" t="s">
        <v>105</v>
      </c>
      <c r="B105" s="4">
        <v>19598000</v>
      </c>
      <c r="C105" s="4">
        <v>38460000</v>
      </c>
      <c r="D105" s="4">
        <v>24467000</v>
      </c>
      <c r="E105" s="4">
        <v>23079000</v>
      </c>
      <c r="F105" s="5">
        <v>20519000</v>
      </c>
      <c r="G105" s="4">
        <v>23706000</v>
      </c>
      <c r="H105" s="4">
        <v>23079000</v>
      </c>
      <c r="I105" s="4">
        <v>21972000</v>
      </c>
      <c r="J105" s="4">
        <v>20519000</v>
      </c>
    </row>
    <row r="106" spans="1:10" ht="16" x14ac:dyDescent="0.2">
      <c r="A106" s="3" t="s">
        <v>106</v>
      </c>
      <c r="B106" s="4">
        <v>19598000</v>
      </c>
      <c r="C106" s="4">
        <v>19621000</v>
      </c>
      <c r="D106" s="4" t="s">
        <v>15</v>
      </c>
      <c r="E106" s="4" t="s">
        <v>15</v>
      </c>
      <c r="F106" s="5" t="s">
        <v>15</v>
      </c>
      <c r="G106" s="4" t="s">
        <v>15</v>
      </c>
      <c r="H106" s="4" t="s">
        <v>15</v>
      </c>
      <c r="I106" s="4" t="s">
        <v>15</v>
      </c>
      <c r="J106" s="4" t="s">
        <v>15</v>
      </c>
    </row>
    <row r="107" spans="1:10" ht="16" x14ac:dyDescent="0.2">
      <c r="A107" s="3" t="s">
        <v>107</v>
      </c>
      <c r="B107" s="4" t="s">
        <v>15</v>
      </c>
      <c r="C107" s="4">
        <v>18839000</v>
      </c>
      <c r="D107" s="4">
        <v>24467000</v>
      </c>
      <c r="E107" s="4">
        <v>23079000</v>
      </c>
      <c r="F107" s="5">
        <v>20519000</v>
      </c>
      <c r="G107" s="4">
        <v>23706000</v>
      </c>
      <c r="H107" s="4">
        <v>23079000</v>
      </c>
      <c r="I107" s="4">
        <v>21972000</v>
      </c>
      <c r="J107" s="4">
        <v>20519000</v>
      </c>
    </row>
    <row r="108" spans="1:10" ht="16" x14ac:dyDescent="0.2">
      <c r="A108" s="3" t="s">
        <v>108</v>
      </c>
      <c r="B108" s="4">
        <v>245333000</v>
      </c>
      <c r="C108" s="4">
        <v>673730000</v>
      </c>
      <c r="D108" s="4">
        <v>85605000</v>
      </c>
      <c r="E108" s="4">
        <v>105850000</v>
      </c>
      <c r="F108" s="5">
        <v>98987000</v>
      </c>
      <c r="G108" s="4">
        <v>103953000</v>
      </c>
      <c r="H108" s="4">
        <v>105850000</v>
      </c>
      <c r="I108" s="4">
        <v>100712000</v>
      </c>
      <c r="J108" s="4">
        <v>98987000</v>
      </c>
    </row>
    <row r="109" spans="1:10" ht="16" x14ac:dyDescent="0.2">
      <c r="A109" s="3" t="s">
        <v>109</v>
      </c>
      <c r="B109" s="4">
        <v>39946000</v>
      </c>
      <c r="C109" s="4">
        <v>52190000</v>
      </c>
      <c r="D109" s="4">
        <v>79062000</v>
      </c>
      <c r="E109" s="4">
        <v>103062000</v>
      </c>
      <c r="F109" s="5">
        <v>96343000</v>
      </c>
      <c r="G109" s="4">
        <v>98873000</v>
      </c>
      <c r="H109" s="4">
        <v>103062000</v>
      </c>
      <c r="I109" s="4">
        <v>98692000</v>
      </c>
      <c r="J109" s="4">
        <v>96343000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205387000</v>
      </c>
      <c r="C114" s="4">
        <v>621540000</v>
      </c>
      <c r="D114" s="4">
        <v>6543000</v>
      </c>
      <c r="E114" s="4">
        <v>2788000</v>
      </c>
      <c r="F114" s="5">
        <v>2644000</v>
      </c>
      <c r="G114" s="4">
        <v>5080000</v>
      </c>
      <c r="H114" s="4">
        <v>2788000</v>
      </c>
      <c r="I114" s="4">
        <v>2020000</v>
      </c>
      <c r="J114" s="4">
        <v>2644000</v>
      </c>
    </row>
    <row r="115" spans="1:10" ht="16" x14ac:dyDescent="0.2">
      <c r="A115" s="3" t="s">
        <v>112</v>
      </c>
      <c r="B115" s="4">
        <v>264931000</v>
      </c>
      <c r="C115" s="4">
        <v>712190000</v>
      </c>
      <c r="D115" s="4">
        <v>110072000</v>
      </c>
      <c r="E115" s="4">
        <v>128929000</v>
      </c>
      <c r="F115" s="5">
        <v>119506000</v>
      </c>
      <c r="G115" s="4">
        <v>127659000</v>
      </c>
      <c r="H115" s="4">
        <v>128929000</v>
      </c>
      <c r="I115" s="4">
        <v>122684000</v>
      </c>
      <c r="J115" s="4">
        <v>119506000</v>
      </c>
    </row>
    <row r="116" spans="1:10" ht="16" x14ac:dyDescent="0.2">
      <c r="A116" s="3" t="s">
        <v>113</v>
      </c>
      <c r="B116" s="4">
        <v>336667000</v>
      </c>
      <c r="C116" s="4">
        <v>841096000</v>
      </c>
      <c r="D116" s="4">
        <v>391393000</v>
      </c>
      <c r="E116" s="4">
        <v>602208000</v>
      </c>
      <c r="F116" s="5">
        <v>617878000</v>
      </c>
      <c r="G116" s="4">
        <v>532494000</v>
      </c>
      <c r="H116" s="4">
        <v>602208000</v>
      </c>
      <c r="I116" s="4">
        <v>595611000</v>
      </c>
      <c r="J116" s="4">
        <v>617878000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8987000</v>
      </c>
      <c r="C118" s="4">
        <v>29871000</v>
      </c>
      <c r="D118" s="4">
        <v>2272007000</v>
      </c>
      <c r="E118" s="4">
        <v>2663423000</v>
      </c>
      <c r="F118" s="5">
        <v>2795048000</v>
      </c>
      <c r="G118" s="4">
        <v>2599307000</v>
      </c>
      <c r="H118" s="4">
        <v>2663423000</v>
      </c>
      <c r="I118" s="4">
        <v>2730007000</v>
      </c>
      <c r="J118" s="4">
        <v>2795048000</v>
      </c>
    </row>
    <row r="119" spans="1:10" ht="16" x14ac:dyDescent="0.2">
      <c r="A119" s="3" t="s">
        <v>116</v>
      </c>
      <c r="B119" s="4">
        <v>1000</v>
      </c>
      <c r="C119" s="4">
        <v>2000</v>
      </c>
      <c r="D119" s="4">
        <v>27000</v>
      </c>
      <c r="E119" s="4">
        <v>29000</v>
      </c>
      <c r="F119" s="5">
        <v>29000</v>
      </c>
      <c r="G119" s="4">
        <v>28000</v>
      </c>
      <c r="H119" s="4">
        <v>29000</v>
      </c>
      <c r="I119" s="4">
        <v>29000</v>
      </c>
      <c r="J119" s="4">
        <v>29000</v>
      </c>
    </row>
    <row r="120" spans="1:10" ht="16" x14ac:dyDescent="0.2">
      <c r="A120" s="3" t="s">
        <v>117</v>
      </c>
      <c r="B120" s="4">
        <v>8986000</v>
      </c>
      <c r="C120" s="4">
        <v>29869000</v>
      </c>
      <c r="D120" s="4">
        <v>2271980000</v>
      </c>
      <c r="E120" s="4">
        <v>2663394000</v>
      </c>
      <c r="F120" s="5">
        <v>2795019000</v>
      </c>
      <c r="G120" s="4">
        <v>2599279000</v>
      </c>
      <c r="H120" s="4">
        <v>2663394000</v>
      </c>
      <c r="I120" s="4">
        <v>2729978000</v>
      </c>
      <c r="J120" s="4">
        <v>2795019000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-232999000</v>
      </c>
      <c r="C122" s="4">
        <v>-350572000</v>
      </c>
      <c r="D122" s="4">
        <v>-621673000</v>
      </c>
      <c r="E122" s="4">
        <v>-1000351000</v>
      </c>
      <c r="F122" s="5">
        <v>-1196758000</v>
      </c>
      <c r="G122" s="4">
        <v>-906671000</v>
      </c>
      <c r="H122" s="4">
        <v>-1000351000</v>
      </c>
      <c r="I122" s="4">
        <v>-1107220000</v>
      </c>
      <c r="J122" s="4">
        <v>-1196758000</v>
      </c>
    </row>
    <row r="123" spans="1:10" ht="16" x14ac:dyDescent="0.2">
      <c r="A123" s="3" t="s">
        <v>120</v>
      </c>
      <c r="B123" s="4">
        <v>-201000</v>
      </c>
      <c r="C123" s="4">
        <v>165000</v>
      </c>
      <c r="D123" s="4">
        <v>454000</v>
      </c>
      <c r="E123" s="4">
        <v>-6367000</v>
      </c>
      <c r="F123" s="5">
        <v>-8971000</v>
      </c>
      <c r="G123" s="4">
        <v>-10449000</v>
      </c>
      <c r="H123" s="4">
        <v>-6367000</v>
      </c>
      <c r="I123" s="4">
        <v>-5613000</v>
      </c>
      <c r="J123" s="4">
        <v>-8971000</v>
      </c>
    </row>
    <row r="124" spans="1:10" ht="16" x14ac:dyDescent="0.2">
      <c r="A124" s="3" t="s">
        <v>121</v>
      </c>
      <c r="B124" s="4">
        <v>-224213000</v>
      </c>
      <c r="C124" s="4">
        <v>-320536000</v>
      </c>
      <c r="D124" s="4">
        <v>1650788000</v>
      </c>
      <c r="E124" s="4">
        <v>1656705000</v>
      </c>
      <c r="F124" s="5">
        <v>1589319000</v>
      </c>
      <c r="G124" s="4">
        <v>1682187000</v>
      </c>
      <c r="H124" s="4">
        <v>1656705000</v>
      </c>
      <c r="I124" s="4">
        <v>1617174000</v>
      </c>
      <c r="J124" s="4">
        <v>1589319000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-224213000</v>
      </c>
      <c r="C126" s="4">
        <v>-320536000</v>
      </c>
      <c r="D126" s="4">
        <v>1650788000</v>
      </c>
      <c r="E126" s="4">
        <v>1656705000</v>
      </c>
      <c r="F126" s="5">
        <v>1589319000</v>
      </c>
      <c r="G126" s="4">
        <v>1682187000</v>
      </c>
      <c r="H126" s="4">
        <v>1656705000</v>
      </c>
      <c r="I126" s="4">
        <v>1617174000</v>
      </c>
      <c r="J126" s="4">
        <v>1589319000</v>
      </c>
    </row>
    <row r="127" spans="1:10" ht="16" x14ac:dyDescent="0.2">
      <c r="A127" s="3" t="s">
        <v>124</v>
      </c>
      <c r="B127" s="4">
        <v>112454000</v>
      </c>
      <c r="C127" s="4">
        <v>520560000</v>
      </c>
      <c r="D127" s="4">
        <v>2042181000</v>
      </c>
      <c r="E127" s="4">
        <v>2258913000</v>
      </c>
      <c r="F127" s="5">
        <v>2207197000</v>
      </c>
      <c r="G127" s="4">
        <v>2214681000</v>
      </c>
      <c r="H127" s="4">
        <v>2258913000</v>
      </c>
      <c r="I127" s="4">
        <v>2212785000</v>
      </c>
      <c r="J127" s="4">
        <v>2207197000</v>
      </c>
    </row>
    <row r="128" spans="1:10" ht="16" x14ac:dyDescent="0.2">
      <c r="A128" s="28" t="s">
        <v>125</v>
      </c>
      <c r="B128" s="26">
        <v>253530006</v>
      </c>
      <c r="C128" s="26">
        <v>253530006</v>
      </c>
      <c r="D128" s="26">
        <v>270451615</v>
      </c>
      <c r="E128" s="26">
        <v>286763857</v>
      </c>
      <c r="F128" s="27">
        <v>294898606</v>
      </c>
      <c r="G128" s="26">
        <v>282209207</v>
      </c>
      <c r="H128" s="26">
        <v>286763857</v>
      </c>
      <c r="I128" s="26">
        <v>291225065</v>
      </c>
      <c r="J128" s="26">
        <v>294898606</v>
      </c>
    </row>
    <row r="129" spans="1:10" ht="16" x14ac:dyDescent="0.2">
      <c r="A129" s="15" t="s">
        <v>188</v>
      </c>
      <c r="B129" s="10"/>
      <c r="C129" s="20">
        <f>(C128/B128)-1</f>
        <v>0</v>
      </c>
      <c r="D129" s="20">
        <f>(D128/C128)-1</f>
        <v>6.6744008991188153E-2</v>
      </c>
      <c r="E129" s="20">
        <f>(E128/D128)-1</f>
        <v>6.0314825629715685E-2</v>
      </c>
      <c r="F129" s="20">
        <f t="shared" ref="F129:J129" si="6">(F128/E128)-1</f>
        <v>2.8367413819517795E-2</v>
      </c>
      <c r="G129" s="20">
        <f t="shared" si="6"/>
        <v>-4.3029701537483755E-2</v>
      </c>
      <c r="H129" s="20">
        <f t="shared" si="6"/>
        <v>1.6139267915521893E-2</v>
      </c>
      <c r="I129" s="20">
        <f t="shared" si="6"/>
        <v>1.5557079077786362E-2</v>
      </c>
      <c r="J129" s="20">
        <f t="shared" si="6"/>
        <v>1.2614096248892537E-2</v>
      </c>
    </row>
    <row r="130" spans="1:10" ht="16" x14ac:dyDescent="0.2">
      <c r="A130" s="3" t="s">
        <v>126</v>
      </c>
      <c r="B130" s="4" t="s">
        <v>15</v>
      </c>
      <c r="C130" s="4">
        <v>22473000</v>
      </c>
      <c r="D130" s="4">
        <v>29080000</v>
      </c>
      <c r="E130" s="4">
        <v>26974000</v>
      </c>
      <c r="F130" s="5">
        <v>25156000</v>
      </c>
      <c r="G130" s="4">
        <v>27706000</v>
      </c>
      <c r="H130" s="4">
        <v>26974000</v>
      </c>
      <c r="I130" s="4">
        <v>26480000</v>
      </c>
      <c r="J130" s="4">
        <v>25156000</v>
      </c>
    </row>
    <row r="131" spans="1:10" ht="16" x14ac:dyDescent="0.2">
      <c r="A131" s="3" t="s">
        <v>127</v>
      </c>
      <c r="B131" s="4">
        <v>-25762000</v>
      </c>
      <c r="C131" s="4">
        <v>-375851000</v>
      </c>
      <c r="D131" s="4">
        <v>-1669304000</v>
      </c>
      <c r="E131" s="4">
        <v>-137941000</v>
      </c>
      <c r="F131" s="5">
        <v>-133065000</v>
      </c>
      <c r="G131" s="4">
        <v>-210472000</v>
      </c>
      <c r="H131" s="4">
        <v>-137941000</v>
      </c>
      <c r="I131" s="4">
        <v>-150099000</v>
      </c>
      <c r="J131" s="4">
        <v>-133065000</v>
      </c>
    </row>
    <row r="132" spans="1:10" ht="16" x14ac:dyDescent="0.2">
      <c r="A132" s="3" t="s">
        <v>128</v>
      </c>
      <c r="B132" s="7">
        <v>11.49</v>
      </c>
      <c r="C132" s="7">
        <v>117.26</v>
      </c>
      <c r="D132" s="7">
        <v>-101.12</v>
      </c>
      <c r="E132" s="7">
        <v>-8.33</v>
      </c>
      <c r="F132" s="6">
        <v>-8.3699999999999992</v>
      </c>
      <c r="G132" s="7">
        <v>-12.51</v>
      </c>
      <c r="H132" s="7">
        <v>-8.33</v>
      </c>
      <c r="I132" s="7">
        <v>-9.2799999999999994</v>
      </c>
      <c r="J132" s="7">
        <v>-8.3699999999999992</v>
      </c>
    </row>
    <row r="133" spans="1:10" ht="16" x14ac:dyDescent="0.2">
      <c r="A133" s="3" t="s">
        <v>129</v>
      </c>
      <c r="B133" s="7">
        <v>-200.08</v>
      </c>
      <c r="C133" s="7">
        <v>-61.72</v>
      </c>
      <c r="D133" s="7">
        <v>79.599999999999994</v>
      </c>
      <c r="E133" s="7">
        <v>61.73</v>
      </c>
      <c r="F133" s="6">
        <v>59.77</v>
      </c>
      <c r="G133" s="7">
        <v>65.010000000000005</v>
      </c>
      <c r="H133" s="7">
        <v>61.73</v>
      </c>
      <c r="I133" s="7">
        <v>61.18</v>
      </c>
      <c r="J133" s="7">
        <v>59.77</v>
      </c>
    </row>
    <row r="134" spans="1:10" ht="16" x14ac:dyDescent="0.2">
      <c r="A134" s="3" t="s">
        <v>130</v>
      </c>
      <c r="B134" s="7">
        <v>1.24</v>
      </c>
      <c r="C134" s="7">
        <v>3.6</v>
      </c>
      <c r="D134" s="7">
        <v>6.46</v>
      </c>
      <c r="E134" s="7">
        <v>1.93</v>
      </c>
      <c r="F134" s="5">
        <v>2</v>
      </c>
      <c r="G134" s="7">
        <v>2.35</v>
      </c>
      <c r="H134" s="7">
        <v>1.93</v>
      </c>
      <c r="I134" s="7">
        <v>2.08</v>
      </c>
      <c r="J134" s="4">
        <v>2</v>
      </c>
    </row>
    <row r="135" spans="1:10" ht="16" x14ac:dyDescent="0.2">
      <c r="A135" s="3" t="s">
        <v>131</v>
      </c>
      <c r="B135" s="4" t="s">
        <v>15</v>
      </c>
      <c r="C135" s="7">
        <v>61.58</v>
      </c>
      <c r="D135" s="7">
        <v>76.84</v>
      </c>
      <c r="E135" s="7">
        <v>82.58</v>
      </c>
      <c r="F135" s="6">
        <v>49.64</v>
      </c>
      <c r="G135" s="7">
        <v>75.02</v>
      </c>
      <c r="H135" s="7">
        <v>82.58</v>
      </c>
      <c r="I135" s="7">
        <v>51.21</v>
      </c>
      <c r="J135" s="7">
        <v>49.64</v>
      </c>
    </row>
    <row r="136" spans="1:10" ht="16" x14ac:dyDescent="0.2">
      <c r="A136" s="3" t="s">
        <v>132</v>
      </c>
      <c r="B136" s="4" t="s">
        <v>15</v>
      </c>
      <c r="C136" s="4" t="s">
        <v>15</v>
      </c>
      <c r="D136" s="4" t="s">
        <v>15</v>
      </c>
      <c r="E136" s="4" t="s">
        <v>15</v>
      </c>
      <c r="F136" s="5" t="s">
        <v>15</v>
      </c>
      <c r="G136" s="4" t="s">
        <v>15</v>
      </c>
      <c r="H136" s="4" t="s">
        <v>15</v>
      </c>
      <c r="I136" s="4" t="s">
        <v>15</v>
      </c>
      <c r="J136" s="4" t="s">
        <v>15</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-76567000</v>
      </c>
      <c r="C139" s="4">
        <v>-117573000</v>
      </c>
      <c r="D139" s="4">
        <v>-271101000</v>
      </c>
      <c r="E139" s="4">
        <v>-378678000</v>
      </c>
      <c r="F139" s="5">
        <v>-388945000</v>
      </c>
      <c r="G139" s="4">
        <v>-98858000</v>
      </c>
      <c r="H139" s="4">
        <v>-93680000</v>
      </c>
      <c r="I139" s="4">
        <v>-106869000</v>
      </c>
      <c r="J139" s="4">
        <v>-89538000</v>
      </c>
    </row>
    <row r="140" spans="1:10" ht="16" x14ac:dyDescent="0.2">
      <c r="A140" s="3" t="s">
        <v>134</v>
      </c>
      <c r="B140" s="4">
        <v>1855000</v>
      </c>
      <c r="C140" s="4">
        <v>2837000</v>
      </c>
      <c r="D140" s="4">
        <v>7909000</v>
      </c>
      <c r="E140" s="4">
        <v>29721000</v>
      </c>
      <c r="F140" s="5">
        <v>37550000</v>
      </c>
      <c r="G140" s="4">
        <v>9303000</v>
      </c>
      <c r="H140" s="4">
        <v>9624000</v>
      </c>
      <c r="I140" s="4">
        <v>9115000</v>
      </c>
      <c r="J140" s="4">
        <v>9508000</v>
      </c>
    </row>
    <row r="141" spans="1:10" ht="16" x14ac:dyDescent="0.2">
      <c r="A141" s="3" t="s">
        <v>135</v>
      </c>
      <c r="B141" s="4">
        <v>10060000</v>
      </c>
      <c r="C141" s="4">
        <v>30493000</v>
      </c>
      <c r="D141" s="4">
        <v>111965000</v>
      </c>
      <c r="E141" s="4">
        <v>191038000</v>
      </c>
      <c r="F141" s="5">
        <v>206202000</v>
      </c>
      <c r="G141" s="4">
        <v>35517000</v>
      </c>
      <c r="H141" s="4">
        <v>50368000</v>
      </c>
      <c r="I141" s="4">
        <v>63004000</v>
      </c>
      <c r="J141" s="4">
        <v>57313000</v>
      </c>
    </row>
    <row r="142" spans="1:10" ht="16" x14ac:dyDescent="0.2">
      <c r="A142" s="28" t="s">
        <v>136</v>
      </c>
      <c r="B142" s="26">
        <v>4346000</v>
      </c>
      <c r="C142" s="26">
        <v>15912000</v>
      </c>
      <c r="D142" s="26">
        <v>87889000</v>
      </c>
      <c r="E142" s="26">
        <v>164466000</v>
      </c>
      <c r="F142" s="27">
        <v>200230000</v>
      </c>
      <c r="G142" s="26">
        <v>45687000</v>
      </c>
      <c r="H142" s="26">
        <v>46148000</v>
      </c>
      <c r="I142" s="26">
        <v>55549000</v>
      </c>
      <c r="J142" s="26">
        <v>52846000</v>
      </c>
    </row>
    <row r="143" spans="1:10" ht="16" x14ac:dyDescent="0.2">
      <c r="A143" s="12" t="s">
        <v>189</v>
      </c>
      <c r="B143" s="20">
        <f t="shared" ref="B143:J143" si="7">B142/B2</f>
        <v>9.351465335456384E-2</v>
      </c>
      <c r="C143" s="20">
        <f t="shared" si="7"/>
        <v>0.17099381017881707</v>
      </c>
      <c r="D143" s="20">
        <f t="shared" si="7"/>
        <v>0.42914760325978152</v>
      </c>
      <c r="E143" s="20">
        <f t="shared" si="7"/>
        <v>0.38956461595673875</v>
      </c>
      <c r="F143" s="20">
        <f t="shared" si="7"/>
        <v>0.38194848473865628</v>
      </c>
      <c r="G143" s="20">
        <f t="shared" si="7"/>
        <v>0.39616555240498424</v>
      </c>
      <c r="H143" s="20">
        <f t="shared" si="7"/>
        <v>0.36597513005963711</v>
      </c>
      <c r="I143" s="20">
        <f t="shared" si="7"/>
        <v>0.41643114706168988</v>
      </c>
      <c r="J143" s="20">
        <f t="shared" si="7"/>
        <v>0.3536718399689468</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5714000</v>
      </c>
      <c r="C146" s="4">
        <v>14581000</v>
      </c>
      <c r="D146" s="4">
        <v>24076000</v>
      </c>
      <c r="E146" s="4">
        <v>26572000</v>
      </c>
      <c r="F146" s="5">
        <v>5972000</v>
      </c>
      <c r="G146" s="4">
        <v>-10170000</v>
      </c>
      <c r="H146" s="4">
        <v>4220000</v>
      </c>
      <c r="I146" s="4">
        <v>7455000</v>
      </c>
      <c r="J146" s="4">
        <v>4467000</v>
      </c>
    </row>
    <row r="147" spans="1:10" ht="16" x14ac:dyDescent="0.2">
      <c r="A147" s="3" t="s">
        <v>140</v>
      </c>
      <c r="B147" s="4">
        <v>20228000</v>
      </c>
      <c r="C147" s="4">
        <v>17673000</v>
      </c>
      <c r="D147" s="4">
        <v>55639000</v>
      </c>
      <c r="E147" s="4">
        <v>-35368000</v>
      </c>
      <c r="F147" s="5">
        <v>23421000</v>
      </c>
      <c r="G147" s="4">
        <v>-5703000</v>
      </c>
      <c r="H147" s="4">
        <v>11619000</v>
      </c>
      <c r="I147" s="4">
        <v>6691000</v>
      </c>
      <c r="J147" s="4">
        <v>10814000</v>
      </c>
    </row>
    <row r="148" spans="1:10" ht="16" x14ac:dyDescent="0.2">
      <c r="A148" s="3" t="s">
        <v>141</v>
      </c>
      <c r="B148" s="4">
        <v>-18986000</v>
      </c>
      <c r="C148" s="4">
        <v>-8320000</v>
      </c>
      <c r="D148" s="4">
        <v>-59082000</v>
      </c>
      <c r="E148" s="4">
        <v>-44442000</v>
      </c>
      <c r="F148" s="5">
        <v>-16996000</v>
      </c>
      <c r="G148" s="4">
        <v>-13179000</v>
      </c>
      <c r="H148" s="4">
        <v>-31743000</v>
      </c>
      <c r="I148" s="4">
        <v>23583000</v>
      </c>
      <c r="J148" s="4">
        <v>4343000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-1237000</v>
      </c>
      <c r="C150" s="4">
        <v>-9438000</v>
      </c>
      <c r="D150" s="4">
        <v>-7319000</v>
      </c>
      <c r="E150" s="4">
        <v>-14499000</v>
      </c>
      <c r="F150" s="5">
        <v>943000</v>
      </c>
      <c r="G150" s="4">
        <v>-1921000</v>
      </c>
      <c r="H150" s="4">
        <v>-3427000</v>
      </c>
      <c r="I150" s="4">
        <v>3237000</v>
      </c>
      <c r="J150" s="4">
        <v>3054000</v>
      </c>
    </row>
    <row r="151" spans="1:10" ht="16" x14ac:dyDescent="0.2">
      <c r="A151" s="3" t="s">
        <v>144</v>
      </c>
      <c r="B151" s="4">
        <v>9141000</v>
      </c>
      <c r="C151" s="4">
        <v>16561000</v>
      </c>
      <c r="D151" s="4">
        <v>57466000</v>
      </c>
      <c r="E151" s="4">
        <v>1441000</v>
      </c>
      <c r="F151" s="5">
        <v>15905000</v>
      </c>
      <c r="G151" s="4">
        <v>-6475000</v>
      </c>
      <c r="H151" s="4">
        <v>21343000</v>
      </c>
      <c r="I151" s="4">
        <v>-8398000</v>
      </c>
      <c r="J151" s="4">
        <v>9435000</v>
      </c>
    </row>
    <row r="152" spans="1:10" ht="16" x14ac:dyDescent="0.2">
      <c r="A152" s="3" t="s">
        <v>145</v>
      </c>
      <c r="B152" s="4">
        <v>31310000</v>
      </c>
      <c r="C152" s="4">
        <v>18870000</v>
      </c>
      <c r="D152" s="4">
        <v>64574000</v>
      </c>
      <c r="E152" s="4">
        <v>22132000</v>
      </c>
      <c r="F152" s="5">
        <v>23569000</v>
      </c>
      <c r="G152" s="4">
        <v>15872000</v>
      </c>
      <c r="H152" s="4">
        <v>25446000</v>
      </c>
      <c r="I152" s="4">
        <v>-11731000</v>
      </c>
      <c r="J152" s="4">
        <v>-6018000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-44424000</v>
      </c>
      <c r="C154" s="4">
        <v>-66570000</v>
      </c>
      <c r="D154" s="4">
        <v>-95588000</v>
      </c>
      <c r="E154" s="4">
        <v>-193287000</v>
      </c>
      <c r="F154" s="5">
        <v>-121772000</v>
      </c>
      <c r="G154" s="4">
        <v>-59741000</v>
      </c>
      <c r="H154" s="4">
        <v>-22069000</v>
      </c>
      <c r="I154" s="4">
        <v>-28059000</v>
      </c>
      <c r="J154" s="4">
        <v>-11903000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-1153000</v>
      </c>
      <c r="C159" s="4">
        <v>-3507000</v>
      </c>
      <c r="D159" s="4">
        <v>-4455000</v>
      </c>
      <c r="E159" s="4">
        <v>-5360000</v>
      </c>
      <c r="F159" s="5">
        <v>-1772000</v>
      </c>
      <c r="G159" s="4">
        <v>-779000</v>
      </c>
      <c r="H159" s="4">
        <v>-286000</v>
      </c>
      <c r="I159" s="4">
        <v>-635000</v>
      </c>
      <c r="J159" s="4">
        <v>-72000</v>
      </c>
    </row>
    <row r="160" spans="1:10" ht="16" x14ac:dyDescent="0.2">
      <c r="A160" s="3" t="s">
        <v>153</v>
      </c>
      <c r="B160" s="4">
        <v>-953000</v>
      </c>
      <c r="C160" s="4">
        <v>-3283000</v>
      </c>
      <c r="D160" s="4">
        <v>-3653000</v>
      </c>
      <c r="E160" s="4">
        <v>-4953000</v>
      </c>
      <c r="F160" s="5">
        <v>-1346000</v>
      </c>
      <c r="G160" s="4">
        <v>-726000</v>
      </c>
      <c r="H160" s="4">
        <v>-126000</v>
      </c>
      <c r="I160" s="4">
        <v>-462000</v>
      </c>
      <c r="J160" s="4">
        <v>-32000</v>
      </c>
    </row>
    <row r="161" spans="1:10" ht="16" x14ac:dyDescent="0.2">
      <c r="A161" s="3" t="s">
        <v>154</v>
      </c>
      <c r="B161" s="4">
        <v>-200000</v>
      </c>
      <c r="C161" s="4">
        <v>-224000</v>
      </c>
      <c r="D161" s="4">
        <v>-802000</v>
      </c>
      <c r="E161" s="4">
        <v>-407000</v>
      </c>
      <c r="F161" s="5">
        <v>-426000</v>
      </c>
      <c r="G161" s="4">
        <v>-53000</v>
      </c>
      <c r="H161" s="4">
        <v>-160000</v>
      </c>
      <c r="I161" s="4">
        <v>-173000</v>
      </c>
      <c r="J161" s="4">
        <v>-40000</v>
      </c>
    </row>
    <row r="162" spans="1:10" ht="16" x14ac:dyDescent="0.2">
      <c r="A162" s="3" t="s">
        <v>155</v>
      </c>
      <c r="B162" s="4">
        <v>-334000</v>
      </c>
      <c r="C162" s="4" t="s">
        <v>15</v>
      </c>
      <c r="D162" s="4">
        <v>-6000000</v>
      </c>
      <c r="E162" s="4">
        <v>-1012822000</v>
      </c>
      <c r="F162" s="5">
        <v>-39493000</v>
      </c>
      <c r="G162" s="4">
        <v>2142000</v>
      </c>
      <c r="H162" s="4">
        <v>-63215000</v>
      </c>
      <c r="I162" s="4">
        <v>34657000</v>
      </c>
      <c r="J162" s="4">
        <v>-13077000</v>
      </c>
    </row>
    <row r="163" spans="1:10" ht="16" x14ac:dyDescent="0.2">
      <c r="A163" s="3" t="s">
        <v>156</v>
      </c>
      <c r="B163" s="4" t="s">
        <v>15</v>
      </c>
      <c r="C163" s="4" t="s">
        <v>15</v>
      </c>
      <c r="D163" s="4" t="s">
        <v>15</v>
      </c>
      <c r="E163" s="4">
        <v>925185000</v>
      </c>
      <c r="F163" s="5">
        <v>1005336000</v>
      </c>
      <c r="G163" s="4">
        <v>486710000</v>
      </c>
      <c r="H163" s="4">
        <v>146630000</v>
      </c>
      <c r="I163" s="4">
        <v>185296000</v>
      </c>
      <c r="J163" s="4">
        <v>186700000</v>
      </c>
    </row>
    <row r="164" spans="1:10" ht="16" x14ac:dyDescent="0.2">
      <c r="A164" s="3" t="s">
        <v>157</v>
      </c>
      <c r="B164" s="4">
        <v>-334000</v>
      </c>
      <c r="C164" s="4" t="s">
        <v>15</v>
      </c>
      <c r="D164" s="4">
        <v>-6000000</v>
      </c>
      <c r="E164" s="4">
        <v>-1938007000</v>
      </c>
      <c r="F164" s="5">
        <v>-1044829000</v>
      </c>
      <c r="G164" s="4">
        <v>-484568000</v>
      </c>
      <c r="H164" s="4">
        <v>-209845000</v>
      </c>
      <c r="I164" s="4">
        <v>-150639000</v>
      </c>
      <c r="J164" s="4">
        <v>-199777000</v>
      </c>
    </row>
    <row r="165" spans="1:10" ht="16" x14ac:dyDescent="0.2">
      <c r="A165" s="3" t="s">
        <v>158</v>
      </c>
      <c r="B165" s="4" t="s">
        <v>15</v>
      </c>
      <c r="C165" s="4" t="s">
        <v>15</v>
      </c>
      <c r="D165" s="4">
        <v>-3449000</v>
      </c>
      <c r="E165" s="4">
        <v>-281032000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v>-3449000</v>
      </c>
      <c r="E167" s="4">
        <v>-281032000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-1700000</v>
      </c>
      <c r="C169" s="4">
        <v>-2758000</v>
      </c>
      <c r="D169" s="4">
        <v>-5839000</v>
      </c>
      <c r="E169" s="4">
        <v>-13452000</v>
      </c>
      <c r="F169" s="5">
        <v>-13589000</v>
      </c>
      <c r="G169" s="4">
        <v>-4251000</v>
      </c>
      <c r="H169" s="4">
        <v>-3173000</v>
      </c>
      <c r="I169" s="4">
        <v>-2912000</v>
      </c>
      <c r="J169" s="4">
        <v>-3253000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-3187000</v>
      </c>
      <c r="C171" s="4">
        <v>-6265000</v>
      </c>
      <c r="D171" s="4">
        <v>-19743000</v>
      </c>
      <c r="E171" s="4">
        <v>-1312666000</v>
      </c>
      <c r="F171" s="5">
        <v>-54854000</v>
      </c>
      <c r="G171" s="4">
        <v>-2888000</v>
      </c>
      <c r="H171" s="4">
        <v>-66674000</v>
      </c>
      <c r="I171" s="4">
        <v>31110000</v>
      </c>
      <c r="J171" s="4">
        <v>-16402000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v>19714000</v>
      </c>
      <c r="D173" s="4">
        <v>-20000000</v>
      </c>
      <c r="E173" s="4" t="s">
        <v>15</v>
      </c>
      <c r="F173" s="5" t="s">
        <v>15</v>
      </c>
      <c r="G173" s="4" t="s">
        <v>15</v>
      </c>
      <c r="H173" s="4" t="s">
        <v>15</v>
      </c>
      <c r="I173" s="4" t="s">
        <v>15</v>
      </c>
      <c r="J173" s="4" t="s">
        <v>15</v>
      </c>
    </row>
    <row r="174" spans="1:10" ht="16" x14ac:dyDescent="0.2">
      <c r="A174" s="3" t="s">
        <v>166</v>
      </c>
      <c r="B174" s="4" t="s">
        <v>15</v>
      </c>
      <c r="C174" s="4">
        <v>39714000</v>
      </c>
      <c r="D174" s="4" t="s">
        <v>15</v>
      </c>
      <c r="E174" s="4" t="s">
        <v>15</v>
      </c>
      <c r="F174" s="5" t="s">
        <v>15</v>
      </c>
      <c r="G174" s="4" t="s">
        <v>15</v>
      </c>
      <c r="H174" s="4" t="s">
        <v>15</v>
      </c>
      <c r="I174" s="4" t="s">
        <v>15</v>
      </c>
      <c r="J174" s="4" t="s">
        <v>15</v>
      </c>
    </row>
    <row r="175" spans="1:10" ht="16" x14ac:dyDescent="0.2">
      <c r="A175" s="3" t="s">
        <v>167</v>
      </c>
      <c r="B175" s="4" t="s">
        <v>15</v>
      </c>
      <c r="C175" s="4">
        <v>-20000000</v>
      </c>
      <c r="D175" s="4">
        <v>-20000000</v>
      </c>
      <c r="E175" s="4" t="s">
        <v>15</v>
      </c>
      <c r="F175" s="5" t="s">
        <v>15</v>
      </c>
      <c r="G175" s="4" t="s">
        <v>15</v>
      </c>
      <c r="H175" s="4" t="s">
        <v>15</v>
      </c>
      <c r="I175" s="4" t="s">
        <v>15</v>
      </c>
      <c r="J175" s="4" t="s">
        <v>15</v>
      </c>
    </row>
    <row r="176" spans="1:10" ht="16" x14ac:dyDescent="0.2">
      <c r="A176" s="3" t="s">
        <v>168</v>
      </c>
      <c r="B176" s="4" t="s">
        <v>15</v>
      </c>
      <c r="C176" s="4" t="s">
        <v>15</v>
      </c>
      <c r="D176" s="4">
        <v>1388562000</v>
      </c>
      <c r="E176" s="4" t="s">
        <v>15</v>
      </c>
      <c r="F176" s="5" t="s">
        <v>15</v>
      </c>
      <c r="G176" s="4" t="s">
        <v>15</v>
      </c>
      <c r="H176" s="4" t="s">
        <v>15</v>
      </c>
      <c r="I176" s="4" t="s">
        <v>15</v>
      </c>
      <c r="J176" s="4" t="s">
        <v>15</v>
      </c>
    </row>
    <row r="177" spans="1:10" ht="16" x14ac:dyDescent="0.2">
      <c r="A177" s="3" t="s">
        <v>169</v>
      </c>
      <c r="B177" s="4" t="s">
        <v>15</v>
      </c>
      <c r="C177" s="4" t="s">
        <v>15</v>
      </c>
      <c r="D177" s="4">
        <v>1388562000</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52770000</v>
      </c>
      <c r="C179" s="4">
        <v>404264000</v>
      </c>
      <c r="D179" s="4">
        <v>18562000</v>
      </c>
      <c r="E179" s="4">
        <v>36308000</v>
      </c>
      <c r="F179" s="5">
        <v>39691000</v>
      </c>
      <c r="G179" s="4">
        <v>2900000</v>
      </c>
      <c r="H179" s="4">
        <v>16530000</v>
      </c>
      <c r="I179" s="4">
        <v>9762000</v>
      </c>
      <c r="J179" s="4">
        <v>10499000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52770000</v>
      </c>
      <c r="C181" s="4">
        <v>423978000</v>
      </c>
      <c r="D181" s="4">
        <v>1387124000</v>
      </c>
      <c r="E181" s="4">
        <v>36308000</v>
      </c>
      <c r="F181" s="5">
        <v>39691000</v>
      </c>
      <c r="G181" s="4">
        <v>2900000</v>
      </c>
      <c r="H181" s="4">
        <v>16530000</v>
      </c>
      <c r="I181" s="4">
        <v>9762000</v>
      </c>
      <c r="J181" s="4">
        <v>10499000</v>
      </c>
    </row>
    <row r="182" spans="1:10" ht="16" x14ac:dyDescent="0.2">
      <c r="A182" s="3" t="s">
        <v>173</v>
      </c>
      <c r="B182" s="4">
        <v>36000</v>
      </c>
      <c r="C182" s="4">
        <v>289000</v>
      </c>
      <c r="D182" s="4">
        <v>1146000</v>
      </c>
      <c r="E182" s="4" t="s">
        <v>15</v>
      </c>
      <c r="F182" s="5" t="s">
        <v>15</v>
      </c>
      <c r="G182" s="4" t="s">
        <v>15</v>
      </c>
      <c r="H182" s="4" t="s">
        <v>15</v>
      </c>
      <c r="I182" s="4" t="s">
        <v>15</v>
      </c>
      <c r="J182" s="4" t="s">
        <v>15</v>
      </c>
    </row>
    <row r="183" spans="1:10" ht="16" x14ac:dyDescent="0.2">
      <c r="A183" s="3" t="s">
        <v>174</v>
      </c>
      <c r="B183" s="4">
        <v>5159000</v>
      </c>
      <c r="C183" s="4">
        <v>351143000</v>
      </c>
      <c r="D183" s="4">
        <v>1271793000</v>
      </c>
      <c r="E183" s="4">
        <v>-1469645000</v>
      </c>
      <c r="F183" s="5">
        <v>-136935000</v>
      </c>
      <c r="G183" s="4">
        <v>-59729000</v>
      </c>
      <c r="H183" s="4">
        <v>-72213000</v>
      </c>
      <c r="I183" s="4">
        <v>12813000</v>
      </c>
      <c r="J183" s="4">
        <v>-17806000</v>
      </c>
    </row>
    <row r="184" spans="1:10" ht="16" x14ac:dyDescent="0.2">
      <c r="A184" s="3" t="s">
        <v>45</v>
      </c>
      <c r="B184" s="4">
        <v>-73129000</v>
      </c>
      <c r="C184" s="4">
        <v>-112682000</v>
      </c>
      <c r="D184" s="4">
        <v>-259323000</v>
      </c>
      <c r="E184" s="4">
        <v>-372855000</v>
      </c>
      <c r="F184" s="5">
        <v>-379077000</v>
      </c>
      <c r="G184" s="4">
        <v>-94755000</v>
      </c>
      <c r="H184" s="4">
        <v>-90406000</v>
      </c>
      <c r="I184" s="4">
        <v>-106262000</v>
      </c>
      <c r="J184" s="4">
        <v>-87654000</v>
      </c>
    </row>
    <row r="185" spans="1:10" ht="16" x14ac:dyDescent="0.2">
      <c r="A185" s="3" t="s">
        <v>46</v>
      </c>
      <c r="B185" s="7">
        <v>-157.35</v>
      </c>
      <c r="C185" s="7">
        <v>-121.09</v>
      </c>
      <c r="D185" s="7">
        <v>-126.62</v>
      </c>
      <c r="E185" s="7">
        <v>-88.32</v>
      </c>
      <c r="F185" s="6">
        <v>-72.31</v>
      </c>
      <c r="G185" s="7">
        <v>-97.17</v>
      </c>
      <c r="H185" s="7">
        <v>-88.32</v>
      </c>
      <c r="I185" s="7">
        <v>-81.900000000000006</v>
      </c>
      <c r="J185" s="7">
        <v>-72.31</v>
      </c>
    </row>
    <row r="186" spans="1:10" ht="16" x14ac:dyDescent="0.2">
      <c r="A186" s="3" t="s">
        <v>175</v>
      </c>
      <c r="B186" s="4" t="s">
        <v>15</v>
      </c>
      <c r="C186" s="4" t="s">
        <v>15</v>
      </c>
      <c r="D186" s="4">
        <v>3449000</v>
      </c>
      <c r="E186" s="4">
        <v>281032000</v>
      </c>
      <c r="F186" s="5" t="s">
        <v>15</v>
      </c>
      <c r="G186" s="4" t="s">
        <v>15</v>
      </c>
      <c r="H186" s="4" t="s">
        <v>15</v>
      </c>
      <c r="I186" s="4" t="s">
        <v>15</v>
      </c>
      <c r="J186" s="4" t="s">
        <v>15</v>
      </c>
    </row>
    <row r="187" spans="1:10" ht="16" x14ac:dyDescent="0.2">
      <c r="A187" s="3" t="s">
        <v>176</v>
      </c>
      <c r="B187" s="4">
        <v>-45577000</v>
      </c>
      <c r="C187" s="4">
        <v>-70077000</v>
      </c>
      <c r="D187" s="4">
        <v>-100043000</v>
      </c>
      <c r="E187" s="4">
        <v>-198647000</v>
      </c>
      <c r="F187" s="5">
        <v>-123544000</v>
      </c>
      <c r="G187" s="4">
        <v>-60520000</v>
      </c>
      <c r="H187" s="4">
        <v>-22355000</v>
      </c>
      <c r="I187" s="4">
        <v>-28694000</v>
      </c>
      <c r="J187" s="4">
        <v>-11975000</v>
      </c>
    </row>
    <row r="188" spans="1:10" ht="16" x14ac:dyDescent="0.2">
      <c r="A188" s="28" t="s">
        <v>177</v>
      </c>
      <c r="B188" s="26">
        <v>-45577000</v>
      </c>
      <c r="C188" s="26">
        <v>-70077000</v>
      </c>
      <c r="D188" s="26">
        <v>-100043000</v>
      </c>
      <c r="E188" s="26">
        <v>-198647000</v>
      </c>
      <c r="F188" s="27">
        <v>-123544000</v>
      </c>
      <c r="G188" s="26">
        <v>-60520000</v>
      </c>
      <c r="H188" s="26">
        <v>-22355000</v>
      </c>
      <c r="I188" s="26">
        <v>-28694000</v>
      </c>
      <c r="J188" s="26">
        <v>-11975000</v>
      </c>
    </row>
    <row r="189" spans="1:10" ht="16" x14ac:dyDescent="0.2">
      <c r="A189" s="21" t="s">
        <v>190</v>
      </c>
      <c r="B189" s="22"/>
      <c r="C189" s="23">
        <f>(C188/B188)-1</f>
        <v>0.53755183535555218</v>
      </c>
      <c r="D189" s="23">
        <f>(D188/C188)-1</f>
        <v>0.42761533741455837</v>
      </c>
      <c r="E189" s="23">
        <f>(E188/D188)-1</f>
        <v>0.98561618504043258</v>
      </c>
      <c r="F189" s="23">
        <f t="shared" ref="F189:H189" si="8">(F188/E188)-1</f>
        <v>-0.37807266155542241</v>
      </c>
      <c r="G189" s="23"/>
      <c r="H189" s="23">
        <f t="shared" si="8"/>
        <v>-0.6306179775280899</v>
      </c>
      <c r="I189" s="23">
        <f t="shared" ref="I189:J189" si="9">(I188/H188)-1</f>
        <v>0.28356072467009619</v>
      </c>
      <c r="J189" s="23">
        <f t="shared" si="9"/>
        <v>-0.58266536558165472</v>
      </c>
    </row>
    <row r="190" spans="1:10" ht="16" x14ac:dyDescent="0.2">
      <c r="A190" s="24" t="s">
        <v>191</v>
      </c>
      <c r="B190" s="25">
        <f t="shared" ref="B190:J190" si="10">B188/B2</f>
        <v>-0.9806988853982872</v>
      </c>
      <c r="C190" s="25">
        <f t="shared" si="10"/>
        <v>-0.75306267193947729</v>
      </c>
      <c r="D190" s="25">
        <f t="shared" si="10"/>
        <v>-0.48849359616013749</v>
      </c>
      <c r="E190" s="25">
        <f t="shared" si="10"/>
        <v>-0.4705279040407031</v>
      </c>
      <c r="F190" s="25">
        <f t="shared" si="10"/>
        <v>-0.23566620186062304</v>
      </c>
      <c r="G190" s="25">
        <f t="shared" si="10"/>
        <v>-0.52478690287280072</v>
      </c>
      <c r="H190" s="25">
        <f t="shared" si="10"/>
        <v>-0.17728556020809541</v>
      </c>
      <c r="I190" s="25">
        <f t="shared" si="10"/>
        <v>-0.21510873883936937</v>
      </c>
      <c r="J190" s="25">
        <f t="shared" si="10"/>
        <v>-8.014268409393592E-2</v>
      </c>
    </row>
    <row r="191" spans="1:10" ht="16" x14ac:dyDescent="0.2">
      <c r="A191" s="3" t="s">
        <v>178</v>
      </c>
      <c r="B191" s="4" t="s">
        <v>15</v>
      </c>
      <c r="C191" s="4">
        <v>-50139000</v>
      </c>
      <c r="D191" s="4">
        <v>-119241000</v>
      </c>
      <c r="E191" s="4">
        <v>-198240000</v>
      </c>
      <c r="F191" s="5">
        <v>-123118000</v>
      </c>
      <c r="G191" s="4">
        <v>-60467000</v>
      </c>
      <c r="H191" s="4">
        <v>-22195000</v>
      </c>
      <c r="I191" s="4">
        <v>-28521000</v>
      </c>
      <c r="J191" s="4">
        <v>-11935000</v>
      </c>
    </row>
    <row r="192" spans="1:10" ht="16" x14ac:dyDescent="0.2">
      <c r="A192" s="3" t="s">
        <v>179</v>
      </c>
      <c r="B192" s="4" t="s">
        <v>15</v>
      </c>
      <c r="C192" s="4" t="s">
        <v>15</v>
      </c>
      <c r="D192" s="4" t="s">
        <v>15</v>
      </c>
      <c r="E192" s="4" t="s">
        <v>15</v>
      </c>
      <c r="F192" s="6">
        <v>-0.43</v>
      </c>
      <c r="G192" s="7">
        <v>-0.22</v>
      </c>
      <c r="H192" s="7">
        <v>-0.08</v>
      </c>
      <c r="I192" s="7">
        <v>-0.1</v>
      </c>
      <c r="J192" s="7">
        <v>-0.04</v>
      </c>
    </row>
    <row r="193" spans="1:10" ht="16" x14ac:dyDescent="0.2">
      <c r="A193" s="3" t="s">
        <v>180</v>
      </c>
      <c r="B193" s="4" t="s">
        <v>15</v>
      </c>
      <c r="C193" s="4" t="s">
        <v>15</v>
      </c>
      <c r="D193" s="4" t="s">
        <v>15</v>
      </c>
      <c r="E193" s="4" t="s">
        <v>15</v>
      </c>
      <c r="F193" s="6">
        <v>-39.79</v>
      </c>
      <c r="G193" s="4" t="s">
        <v>15</v>
      </c>
      <c r="H193" s="4">
        <v>-22</v>
      </c>
      <c r="I193" s="7">
        <v>-26.67</v>
      </c>
      <c r="J193" s="7">
        <v>-39.57</v>
      </c>
    </row>
    <row r="194" spans="1:10" ht="16" x14ac:dyDescent="0.2">
      <c r="A194" s="3" t="s">
        <v>181</v>
      </c>
      <c r="B194" s="7">
        <v>0.57999999999999996</v>
      </c>
      <c r="C194" s="7">
        <v>0.56999999999999995</v>
      </c>
      <c r="D194" s="7">
        <v>0.35</v>
      </c>
      <c r="E194" s="7">
        <v>0.51</v>
      </c>
      <c r="F194" s="6">
        <v>0.31</v>
      </c>
      <c r="G194" s="7">
        <v>0.6</v>
      </c>
      <c r="H194" s="7">
        <v>0.24</v>
      </c>
      <c r="I194" s="7">
        <v>0.26</v>
      </c>
      <c r="J194" s="7">
        <v>0.13</v>
      </c>
    </row>
    <row r="196" spans="1:10" ht="16" x14ac:dyDescent="0.2">
      <c r="A196" s="8"/>
    </row>
  </sheetData>
  <pageMargins left="0.7" right="0.7" top="0.75" bottom="0.75" header="0.3" footer="0.3"/>
  <ignoredErrors>
    <ignoredError sqref="B1:J1 A4:J7 A15:J16 A19:J33 A191:J195 A2:J2 A9:J11 A13:J13 A37:J95 A130:J142 A144:J171 A188 A97:J128 A96 C96:J96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03355-A625-384B-853B-222E4E9AF5B7}">
  <dimension ref="A1:P110"/>
  <sheetViews>
    <sheetView tabSelected="1" workbookViewId="0">
      <selection activeCell="H21" sqref="H21"/>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thickBot="1" x14ac:dyDescent="0.25">
      <c r="A2" s="112"/>
      <c r="B2" s="112"/>
      <c r="C2" s="112"/>
      <c r="D2" s="112"/>
      <c r="E2" s="112"/>
      <c r="F2" s="112"/>
      <c r="G2" s="112"/>
      <c r="H2" s="112"/>
      <c r="I2" s="112"/>
      <c r="J2" s="112"/>
      <c r="K2" s="112"/>
      <c r="L2" s="112"/>
      <c r="M2" s="112"/>
      <c r="N2" s="112"/>
      <c r="O2" s="112"/>
      <c r="P2" s="112"/>
    </row>
    <row r="3" spans="1:16" ht="22" customHeight="1" x14ac:dyDescent="0.2">
      <c r="A3" s="65" cm="1">
        <f t="array" ref="A3">_FV(A1,"Market cap",TRUE)</f>
        <v>5863211453</v>
      </c>
      <c r="B3" s="66" t="s">
        <v>192</v>
      </c>
      <c r="C3" s="67">
        <f>Financials!F8*0.01</f>
        <v>0.67949999999999999</v>
      </c>
      <c r="D3" s="66" t="s">
        <v>193</v>
      </c>
      <c r="E3" s="67">
        <f>SUM(C11:E11)/3</f>
        <v>1.0881898024370138</v>
      </c>
      <c r="F3" s="68" t="s">
        <v>194</v>
      </c>
      <c r="G3" s="69">
        <f>AVERAGE(Financials!E129:J129)</f>
        <v>1.4993830192325086E-2</v>
      </c>
      <c r="H3" s="68" t="s">
        <v>195</v>
      </c>
      <c r="I3" s="70">
        <f>J15*(1+I7)/(I6-I7)</f>
        <v>6218856821.8889675</v>
      </c>
      <c r="J3" s="71" t="s">
        <v>196</v>
      </c>
      <c r="K3" s="72">
        <f>(Financials!F172*-1)/Model!A3</f>
        <v>0</v>
      </c>
      <c r="L3" s="73" t="s">
        <v>203</v>
      </c>
      <c r="M3" s="34"/>
      <c r="N3" s="114" t="s">
        <v>197</v>
      </c>
      <c r="O3" s="115"/>
      <c r="P3" s="34"/>
    </row>
    <row r="4" spans="1:16" ht="22" customHeight="1" x14ac:dyDescent="0.2">
      <c r="A4" s="74">
        <f>Financials!F56-Financials!F96-Financials!F105</f>
        <v>706440000</v>
      </c>
      <c r="B4" s="75" t="s">
        <v>198</v>
      </c>
      <c r="C4" s="36">
        <f>Financials!F17*0.01</f>
        <v>-0.79469999999999996</v>
      </c>
      <c r="D4" s="75" t="s">
        <v>199</v>
      </c>
      <c r="E4" s="36">
        <f>SUM(C13:E13)/3</f>
        <v>0.74606077009287108</v>
      </c>
      <c r="F4" s="76" t="s">
        <v>200</v>
      </c>
      <c r="G4" s="77">
        <f>A5*(1+(5*G3))</f>
        <v>317840213.74759746</v>
      </c>
      <c r="H4" s="76" t="s">
        <v>201</v>
      </c>
      <c r="I4" s="35">
        <f>NPV(I6,F15,G15,H15,I15,(J15+I3))</f>
        <v>4312605202.4655905</v>
      </c>
      <c r="J4" s="76" t="s">
        <v>202</v>
      </c>
      <c r="K4" s="78" cm="1">
        <f t="array" ref="K4">_FV(A1,"Change (%)",TRUE)</f>
        <v>3.8764E-2</v>
      </c>
      <c r="L4" s="79" t="s">
        <v>242</v>
      </c>
      <c r="M4" s="34"/>
      <c r="N4" s="116" t="s">
        <v>204</v>
      </c>
      <c r="O4" s="117"/>
      <c r="P4" s="34"/>
    </row>
    <row r="5" spans="1:16" ht="22" customHeight="1" x14ac:dyDescent="0.2">
      <c r="A5" s="74" cm="1">
        <f t="array" ref="A5">_FV(A1,"Shares outstanding",TRUE)</f>
        <v>295673800</v>
      </c>
      <c r="B5" s="75" t="s">
        <v>205</v>
      </c>
      <c r="C5" s="36">
        <f>F14</f>
        <v>-0.1884297520661157</v>
      </c>
      <c r="D5" s="80" t="s">
        <v>206</v>
      </c>
      <c r="E5" s="36">
        <f>SUM(C16:E16)/3</f>
        <v>0.65026111927018104</v>
      </c>
      <c r="F5" s="76" t="s">
        <v>207</v>
      </c>
      <c r="G5" s="77">
        <f>Financials!F56</f>
        <v>731596000</v>
      </c>
      <c r="H5" s="76" t="s">
        <v>208</v>
      </c>
      <c r="I5" s="35">
        <f>I4+G5-G6</f>
        <v>5019045202.4655905</v>
      </c>
      <c r="J5" s="76" t="s">
        <v>209</v>
      </c>
      <c r="K5" s="81" cm="1">
        <f t="array" ref="K5">_FV(A1,"Price")</f>
        <v>19.829999999999998</v>
      </c>
      <c r="L5" s="82" t="s">
        <v>210</v>
      </c>
      <c r="M5" s="34"/>
      <c r="N5" s="96" t="s">
        <v>211</v>
      </c>
      <c r="O5" s="97">
        <f>Financials!F20</f>
        <v>-36693000</v>
      </c>
      <c r="P5" s="34"/>
    </row>
    <row r="6" spans="1:16" ht="22" customHeight="1" x14ac:dyDescent="0.2">
      <c r="A6" s="83">
        <f>O20/F10</f>
        <v>9.6912585999999994</v>
      </c>
      <c r="B6" s="75" t="s">
        <v>212</v>
      </c>
      <c r="C6" s="36">
        <f>F17</f>
        <v>-0.11570247933884298</v>
      </c>
      <c r="D6" s="80" t="s">
        <v>191</v>
      </c>
      <c r="E6" s="36">
        <f>Financials!F33/Financials!F126</f>
        <v>-0.24472431274023654</v>
      </c>
      <c r="F6" s="75" t="s">
        <v>213</v>
      </c>
      <c r="G6" s="77">
        <f>Financials!F96+Financials!F105</f>
        <v>25156000</v>
      </c>
      <c r="H6" s="76" t="s">
        <v>214</v>
      </c>
      <c r="I6" s="78">
        <f>N25</f>
        <v>0.11004778533224815</v>
      </c>
      <c r="J6" s="76" t="s">
        <v>215</v>
      </c>
      <c r="K6" s="84">
        <f>I5/G4</f>
        <v>15.791095605200239</v>
      </c>
      <c r="L6" s="85" t="s">
        <v>216</v>
      </c>
      <c r="M6" s="34"/>
      <c r="N6" s="96" t="s">
        <v>217</v>
      </c>
      <c r="O6" s="97">
        <f>Financials!F96</f>
        <v>4637000</v>
      </c>
      <c r="P6" s="34"/>
    </row>
    <row r="7" spans="1:16" ht="22" customHeight="1" thickBot="1" x14ac:dyDescent="0.25">
      <c r="A7" s="86">
        <f>O20/F12</f>
        <v>-51.431679412280701</v>
      </c>
      <c r="B7" s="87" t="s">
        <v>218</v>
      </c>
      <c r="C7" s="88">
        <f>F15/A3</f>
        <v>-1.1938849649398786E-2</v>
      </c>
      <c r="D7" s="87" t="s">
        <v>219</v>
      </c>
      <c r="E7" s="89">
        <f>(Financials!F16*(1-0.25))/(Financials!F126+Financials!F105+Financials!F96)</f>
        <v>-0.19354294739776087</v>
      </c>
      <c r="F7" s="87" t="s">
        <v>187</v>
      </c>
      <c r="G7" s="90">
        <f>(Financials!F96+Financials!F105)/Financials!F126</f>
        <v>1.582816287982463E-2</v>
      </c>
      <c r="H7" s="91" t="s">
        <v>220</v>
      </c>
      <c r="I7" s="92">
        <v>2.5000000000000001E-2</v>
      </c>
      <c r="J7" s="93" t="s">
        <v>221</v>
      </c>
      <c r="K7" s="94">
        <f>K6/K5-1</f>
        <v>-0.20367646973271614</v>
      </c>
      <c r="L7" s="95" t="s">
        <v>222</v>
      </c>
      <c r="M7" s="34"/>
      <c r="N7" s="96" t="s">
        <v>223</v>
      </c>
      <c r="O7" s="97">
        <f>Financials!F105</f>
        <v>20519000</v>
      </c>
      <c r="P7" s="34"/>
    </row>
    <row r="8" spans="1:16" ht="22" customHeight="1" x14ac:dyDescent="0.2">
      <c r="A8" s="37"/>
      <c r="B8" s="34"/>
      <c r="C8" s="34"/>
      <c r="D8" s="34"/>
      <c r="E8" s="34"/>
      <c r="F8" s="34"/>
      <c r="G8" s="34"/>
      <c r="H8" s="34"/>
      <c r="I8" s="34"/>
      <c r="J8" s="34"/>
      <c r="K8" s="34"/>
      <c r="L8" s="34"/>
      <c r="M8" s="34"/>
      <c r="N8" s="98" t="s">
        <v>204</v>
      </c>
      <c r="O8" s="99">
        <f>O5/(O6+O7)</f>
        <v>-1.4586182222928923</v>
      </c>
      <c r="P8" s="34"/>
    </row>
    <row r="9" spans="1:16" ht="22" customHeight="1" x14ac:dyDescent="0.2">
      <c r="A9" s="45"/>
      <c r="B9" s="46">
        <v>2020</v>
      </c>
      <c r="C9" s="46">
        <v>2021</v>
      </c>
      <c r="D9" s="46">
        <v>2022</v>
      </c>
      <c r="E9" s="47">
        <v>2023</v>
      </c>
      <c r="F9" s="48">
        <v>2024</v>
      </c>
      <c r="G9" s="49">
        <v>2025</v>
      </c>
      <c r="H9" s="49">
        <v>2026</v>
      </c>
      <c r="I9" s="49">
        <v>2027</v>
      </c>
      <c r="J9" s="50">
        <v>2028</v>
      </c>
      <c r="K9" s="38"/>
      <c r="L9" s="38"/>
      <c r="M9" s="38"/>
      <c r="N9" s="96" t="s">
        <v>224</v>
      </c>
      <c r="O9" s="97">
        <f>Financials!F25</f>
        <v>5437000</v>
      </c>
      <c r="P9" s="34"/>
    </row>
    <row r="10" spans="1:16" ht="22" customHeight="1" x14ac:dyDescent="0.2">
      <c r="A10" s="51" t="s">
        <v>225</v>
      </c>
      <c r="B10" s="52">
        <v>46474000</v>
      </c>
      <c r="C10" s="52">
        <v>93056000</v>
      </c>
      <c r="D10" s="52">
        <v>204799000</v>
      </c>
      <c r="E10" s="53">
        <v>422179000</v>
      </c>
      <c r="F10" s="52">
        <v>605000000</v>
      </c>
      <c r="G10" s="52">
        <v>791000000</v>
      </c>
      <c r="H10" s="52">
        <v>1032000000</v>
      </c>
      <c r="I10" s="52">
        <v>1427000000</v>
      </c>
      <c r="J10" s="53">
        <v>1874000000</v>
      </c>
      <c r="K10" s="54" t="s">
        <v>226</v>
      </c>
      <c r="L10" s="38"/>
      <c r="N10" s="96" t="s">
        <v>227</v>
      </c>
      <c r="O10" s="97">
        <f>Financials!F24</f>
        <v>-383508000</v>
      </c>
      <c r="P10" s="34"/>
    </row>
    <row r="11" spans="1:16" ht="22" customHeight="1" x14ac:dyDescent="0.2">
      <c r="A11" s="55"/>
      <c r="B11" s="39"/>
      <c r="C11" s="39">
        <f t="shared" ref="C11:J11" si="0">(C10/B10)-1</f>
        <v>1.0023238800189351</v>
      </c>
      <c r="D11" s="39">
        <f t="shared" si="0"/>
        <v>1.2008145632737275</v>
      </c>
      <c r="E11" s="39">
        <f t="shared" si="0"/>
        <v>1.061430964018379</v>
      </c>
      <c r="F11" s="40">
        <f t="shared" si="0"/>
        <v>0.43304143503111248</v>
      </c>
      <c r="G11" s="39">
        <f t="shared" si="0"/>
        <v>0.30743801652892566</v>
      </c>
      <c r="H11" s="39">
        <f t="shared" si="0"/>
        <v>0.30467762326169412</v>
      </c>
      <c r="I11" s="39">
        <f t="shared" si="0"/>
        <v>0.38275193798449614</v>
      </c>
      <c r="J11" s="56">
        <f t="shared" si="0"/>
        <v>0.31324456902592845</v>
      </c>
      <c r="K11" s="56">
        <f>SUM(F11:J11)/5</f>
        <v>0.34823071636643138</v>
      </c>
      <c r="L11" s="38"/>
      <c r="M11" s="38"/>
      <c r="N11" s="96" t="s">
        <v>228</v>
      </c>
      <c r="O11" s="100">
        <f>O9/O10</f>
        <v>-1.4177018471583383E-2</v>
      </c>
      <c r="P11" s="34"/>
    </row>
    <row r="12" spans="1:16" ht="22" customHeight="1" x14ac:dyDescent="0.2">
      <c r="A12" s="51" t="s">
        <v>133</v>
      </c>
      <c r="B12" s="52">
        <v>-76567000</v>
      </c>
      <c r="C12" s="52">
        <v>-117573000</v>
      </c>
      <c r="D12" s="52">
        <v>-271101000</v>
      </c>
      <c r="E12" s="52">
        <v>-378678000</v>
      </c>
      <c r="F12" s="57">
        <v>-114000000</v>
      </c>
      <c r="G12" s="52">
        <v>20000000</v>
      </c>
      <c r="H12" s="52">
        <v>99000000</v>
      </c>
      <c r="I12" s="52">
        <v>147200000</v>
      </c>
      <c r="J12" s="53">
        <v>285000000</v>
      </c>
      <c r="K12" s="58" t="s">
        <v>229</v>
      </c>
      <c r="L12" s="38"/>
      <c r="M12" s="38"/>
      <c r="N12" s="96" t="s">
        <v>230</v>
      </c>
      <c r="O12" s="100">
        <f>O8*(1-O11)</f>
        <v>-1.4792970797733269</v>
      </c>
      <c r="P12" s="34"/>
    </row>
    <row r="13" spans="1:16" ht="22" customHeight="1" x14ac:dyDescent="0.2">
      <c r="A13" s="55"/>
      <c r="B13" s="39"/>
      <c r="C13" s="39">
        <f t="shared" ref="C13:J13" si="1">(C12/B12)-1</f>
        <v>0.53555709378714078</v>
      </c>
      <c r="D13" s="39">
        <f t="shared" si="1"/>
        <v>1.3058100073996579</v>
      </c>
      <c r="E13" s="39">
        <f t="shared" si="1"/>
        <v>0.39681520909181445</v>
      </c>
      <c r="F13" s="40">
        <f t="shared" si="1"/>
        <v>-0.6989526721911492</v>
      </c>
      <c r="G13" s="39">
        <f t="shared" si="1"/>
        <v>-1.1754385964912282</v>
      </c>
      <c r="H13" s="39">
        <f t="shared" si="1"/>
        <v>3.95</v>
      </c>
      <c r="I13" s="39">
        <f t="shared" si="1"/>
        <v>0.4868686868686869</v>
      </c>
      <c r="J13" s="56">
        <f t="shared" si="1"/>
        <v>0.93614130434782616</v>
      </c>
      <c r="K13" s="56">
        <f>SUM(F13:J13)/5</f>
        <v>0.69972374450682717</v>
      </c>
      <c r="L13" s="38"/>
      <c r="M13" s="38"/>
      <c r="N13" s="116" t="s">
        <v>231</v>
      </c>
      <c r="O13" s="117"/>
      <c r="P13" s="34"/>
    </row>
    <row r="14" spans="1:16" ht="22" customHeight="1" x14ac:dyDescent="0.2">
      <c r="A14" s="107" t="s">
        <v>243</v>
      </c>
      <c r="B14" s="42">
        <f>B12/B10</f>
        <v>-1.6475233463872272</v>
      </c>
      <c r="C14" s="42">
        <f t="shared" ref="C14:J14" si="2">C12/C10</f>
        <v>-1.2634650103163687</v>
      </c>
      <c r="D14" s="42">
        <f t="shared" si="2"/>
        <v>-1.3237418151455818</v>
      </c>
      <c r="E14" s="42">
        <f t="shared" si="2"/>
        <v>-0.89696076782596956</v>
      </c>
      <c r="F14" s="43">
        <f t="shared" si="2"/>
        <v>-0.1884297520661157</v>
      </c>
      <c r="G14" s="42">
        <f t="shared" si="2"/>
        <v>2.5284450063211124E-2</v>
      </c>
      <c r="H14" s="42">
        <f t="shared" si="2"/>
        <v>9.5930232558139539E-2</v>
      </c>
      <c r="I14" s="42">
        <f t="shared" si="2"/>
        <v>0.10315346881569727</v>
      </c>
      <c r="J14" s="44">
        <f t="shared" si="2"/>
        <v>0.1520811099252935</v>
      </c>
      <c r="K14" s="44"/>
      <c r="L14" s="38"/>
      <c r="M14" s="38"/>
      <c r="N14" s="96" t="s">
        <v>233</v>
      </c>
      <c r="O14" s="100">
        <f>'[1]US Treasury Bonds'!$C$8</f>
        <v>4.2709999999999998E-2</v>
      </c>
      <c r="P14" s="34"/>
    </row>
    <row r="15" spans="1:16" ht="22" customHeight="1" x14ac:dyDescent="0.2">
      <c r="A15" s="51" t="s">
        <v>176</v>
      </c>
      <c r="B15" s="52">
        <v>-45577000</v>
      </c>
      <c r="C15" s="52">
        <v>-70077000</v>
      </c>
      <c r="D15" s="52">
        <v>-100043000</v>
      </c>
      <c r="E15" s="52">
        <v>-198647000</v>
      </c>
      <c r="F15" s="57">
        <v>-70000000</v>
      </c>
      <c r="G15" s="52">
        <v>58000000</v>
      </c>
      <c r="H15" s="52">
        <v>146000000</v>
      </c>
      <c r="I15" s="52">
        <v>343000000</v>
      </c>
      <c r="J15" s="53">
        <v>516000000</v>
      </c>
      <c r="K15" s="58" t="s">
        <v>232</v>
      </c>
      <c r="L15" s="38"/>
      <c r="M15" s="38"/>
      <c r="N15" s="96" t="s">
        <v>234</v>
      </c>
      <c r="O15" s="101" cm="1">
        <f t="array" ref="O15">_FV(A1,"Beta")</f>
        <v>1.796</v>
      </c>
      <c r="P15" s="34"/>
    </row>
    <row r="16" spans="1:16" ht="22" customHeight="1" x14ac:dyDescent="0.2">
      <c r="A16" s="59"/>
      <c r="B16" s="39"/>
      <c r="C16" s="39">
        <f t="shared" ref="C16:J16" si="3">(C15/B15)-1</f>
        <v>0.53755183535555218</v>
      </c>
      <c r="D16" s="39">
        <f t="shared" si="3"/>
        <v>0.42761533741455837</v>
      </c>
      <c r="E16" s="39">
        <f t="shared" si="3"/>
        <v>0.98561618504043258</v>
      </c>
      <c r="F16" s="40">
        <f t="shared" si="3"/>
        <v>-0.64761612307258609</v>
      </c>
      <c r="G16" s="39">
        <f t="shared" si="3"/>
        <v>-1.8285714285714287</v>
      </c>
      <c r="H16" s="39">
        <f t="shared" si="3"/>
        <v>1.5172413793103448</v>
      </c>
      <c r="I16" s="39">
        <f t="shared" si="3"/>
        <v>1.3493150684931505</v>
      </c>
      <c r="J16" s="56">
        <f t="shared" si="3"/>
        <v>0.50437317784256552</v>
      </c>
      <c r="K16" s="56">
        <f>SUM(F16:J16)/5</f>
        <v>0.17894841480040918</v>
      </c>
      <c r="L16" s="38"/>
      <c r="M16" s="38"/>
      <c r="N16" s="96" t="s">
        <v>235</v>
      </c>
      <c r="O16" s="100">
        <v>8.4000000000000005E-2</v>
      </c>
      <c r="P16" s="34"/>
    </row>
    <row r="17" spans="1:16" ht="22" customHeight="1" x14ac:dyDescent="0.2">
      <c r="A17" s="107" t="s">
        <v>191</v>
      </c>
      <c r="B17" s="42">
        <f>B15/B10</f>
        <v>-0.9806988853982872</v>
      </c>
      <c r="C17" s="42">
        <f t="shared" ref="C17:J17" si="4">C15/C10</f>
        <v>-0.75306267193947729</v>
      </c>
      <c r="D17" s="42">
        <f t="shared" si="4"/>
        <v>-0.48849359616013749</v>
      </c>
      <c r="E17" s="44">
        <f t="shared" si="4"/>
        <v>-0.4705279040407031</v>
      </c>
      <c r="F17" s="42">
        <f t="shared" si="4"/>
        <v>-0.11570247933884298</v>
      </c>
      <c r="G17" s="42">
        <f t="shared" si="4"/>
        <v>7.3324905183312264E-2</v>
      </c>
      <c r="H17" s="42">
        <f t="shared" si="4"/>
        <v>0.14147286821705427</v>
      </c>
      <c r="I17" s="42">
        <f t="shared" si="4"/>
        <v>0.24036440084092503</v>
      </c>
      <c r="J17" s="44">
        <f t="shared" si="4"/>
        <v>0.27534685165421557</v>
      </c>
      <c r="K17" s="44"/>
      <c r="L17" s="38"/>
      <c r="M17" s="38"/>
      <c r="N17" s="102" t="s">
        <v>231</v>
      </c>
      <c r="O17" s="103">
        <f>(O14)+((O15)*(O16-O14))</f>
        <v>0.11686684000000001</v>
      </c>
      <c r="P17" s="34"/>
    </row>
    <row r="18" spans="1:16" ht="22" customHeight="1" x14ac:dyDescent="0.2">
      <c r="A18" s="60" t="s">
        <v>187</v>
      </c>
      <c r="B18" s="61">
        <v>0.27484788505241553</v>
      </c>
      <c r="C18" s="61">
        <v>0.31115726075807532</v>
      </c>
      <c r="D18" s="61">
        <v>-0.11930937430798134</v>
      </c>
      <c r="E18" s="61">
        <v>-0.17932872002323483</v>
      </c>
      <c r="F18" s="62"/>
      <c r="G18" s="61"/>
      <c r="H18" s="61"/>
      <c r="I18" s="61"/>
      <c r="J18" s="63"/>
      <c r="K18" s="64"/>
      <c r="L18" s="38"/>
      <c r="M18" s="38"/>
      <c r="N18" s="116" t="s">
        <v>236</v>
      </c>
      <c r="O18" s="117"/>
      <c r="P18" s="34"/>
    </row>
    <row r="19" spans="1:16" ht="22" customHeight="1" x14ac:dyDescent="0.2">
      <c r="A19" s="38"/>
      <c r="B19" s="38"/>
      <c r="C19" s="38"/>
      <c r="D19" s="38"/>
      <c r="E19" s="38"/>
      <c r="F19" s="38" t="s">
        <v>237</v>
      </c>
      <c r="G19" s="38"/>
      <c r="H19" s="38"/>
      <c r="I19" s="38"/>
      <c r="J19" s="38"/>
      <c r="K19" s="38"/>
      <c r="L19" s="38"/>
      <c r="M19" s="38"/>
      <c r="N19" s="96" t="s">
        <v>214</v>
      </c>
      <c r="O19" s="104">
        <f>O6+O7</f>
        <v>25156000</v>
      </c>
      <c r="P19" s="34"/>
    </row>
    <row r="20" spans="1:16" ht="22" customHeight="1" x14ac:dyDescent="0.2">
      <c r="A20" s="38"/>
      <c r="B20" s="38"/>
      <c r="C20" s="38"/>
      <c r="D20" s="38"/>
      <c r="E20" s="38"/>
      <c r="F20" s="38"/>
      <c r="G20" s="38"/>
      <c r="H20" s="38"/>
      <c r="I20" s="38"/>
      <c r="J20" s="38"/>
      <c r="K20" s="38"/>
      <c r="L20" s="38"/>
      <c r="M20" s="38"/>
      <c r="N20" s="96" t="s">
        <v>192</v>
      </c>
      <c r="O20" s="104">
        <f>A3</f>
        <v>5863211453</v>
      </c>
      <c r="P20" s="34"/>
    </row>
    <row r="21" spans="1:16" ht="22" customHeight="1" x14ac:dyDescent="0.2">
      <c r="A21" s="118" t="str" cm="1">
        <f t="array" ref="A21">_FV(A1,"Industry")</f>
        <v>Software &amp; IT Services</v>
      </c>
      <c r="B21" s="118"/>
      <c r="C21" s="119" cm="1">
        <f t="array" ref="C21">_FV(A1,"Year incorporated",TRUE)</f>
        <v>2013</v>
      </c>
      <c r="D21" s="119"/>
      <c r="E21" s="41"/>
      <c r="F21" s="38"/>
      <c r="G21" s="38"/>
      <c r="H21" s="38"/>
      <c r="I21" s="38"/>
      <c r="J21" s="38"/>
      <c r="K21" s="38"/>
      <c r="L21" s="38"/>
      <c r="M21" s="38"/>
      <c r="N21" s="96" t="s">
        <v>238</v>
      </c>
      <c r="O21" s="104">
        <f>O19+O20</f>
        <v>5888367453</v>
      </c>
      <c r="P21" s="34"/>
    </row>
    <row r="22" spans="1:16" ht="22" customHeight="1" x14ac:dyDescent="0.2">
      <c r="A22" s="120" t="str" cm="1">
        <f t="array" ref="A22">_FV(A1,"Description")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B22" s="120"/>
      <c r="C22" s="120"/>
      <c r="D22" s="120"/>
      <c r="E22" s="120"/>
      <c r="F22" s="38"/>
      <c r="G22" s="38"/>
      <c r="H22" s="38"/>
      <c r="I22" s="38"/>
      <c r="J22" s="38"/>
      <c r="K22" s="38"/>
      <c r="L22" s="38"/>
      <c r="M22" s="38"/>
      <c r="N22" s="98" t="s">
        <v>239</v>
      </c>
      <c r="O22" s="105">
        <f>(O19/O21)</f>
        <v>4.2721518656556575E-3</v>
      </c>
      <c r="P22" s="34"/>
    </row>
    <row r="23" spans="1:16" ht="22" customHeight="1" x14ac:dyDescent="0.2">
      <c r="A23" s="120"/>
      <c r="B23" s="120"/>
      <c r="C23" s="120"/>
      <c r="D23" s="120"/>
      <c r="E23" s="120"/>
      <c r="F23" s="38"/>
      <c r="G23" s="38"/>
      <c r="H23" s="38"/>
      <c r="I23" s="38"/>
      <c r="J23" s="38"/>
      <c r="K23" s="38"/>
      <c r="L23" s="38"/>
      <c r="M23" s="38"/>
      <c r="N23" s="102" t="s">
        <v>240</v>
      </c>
      <c r="O23" s="106">
        <f>O20/O21</f>
        <v>0.99572784813434434</v>
      </c>
      <c r="P23" s="34"/>
    </row>
    <row r="24" spans="1:16" ht="22" customHeight="1" x14ac:dyDescent="0.2">
      <c r="A24" s="120"/>
      <c r="B24" s="120"/>
      <c r="C24" s="120"/>
      <c r="D24" s="120"/>
      <c r="E24" s="120"/>
      <c r="F24" s="38"/>
      <c r="G24" s="38"/>
      <c r="H24" s="38"/>
      <c r="I24" s="38"/>
      <c r="J24" s="38"/>
      <c r="K24" s="38"/>
      <c r="L24" s="38"/>
      <c r="M24" s="38"/>
      <c r="N24" s="108" t="s">
        <v>241</v>
      </c>
      <c r="O24" s="109"/>
      <c r="P24" s="34"/>
    </row>
    <row r="25" spans="1:16" ht="22" customHeight="1" x14ac:dyDescent="0.2">
      <c r="A25" s="120"/>
      <c r="B25" s="120"/>
      <c r="C25" s="120"/>
      <c r="D25" s="120"/>
      <c r="E25" s="120"/>
      <c r="F25" s="38"/>
      <c r="G25" s="38"/>
      <c r="H25" s="38"/>
      <c r="I25" s="38"/>
      <c r="J25" s="38"/>
      <c r="K25" s="38"/>
      <c r="L25" s="38"/>
      <c r="M25" s="38"/>
      <c r="N25" s="110">
        <f>(O22*O12)+(O23*O17)</f>
        <v>0.11004778533224815</v>
      </c>
      <c r="O25" s="111"/>
      <c r="P25" s="34"/>
    </row>
    <row r="26" spans="1:16" ht="22" customHeight="1" x14ac:dyDescent="0.2">
      <c r="A26" s="120"/>
      <c r="B26" s="120"/>
      <c r="C26" s="120"/>
      <c r="D26" s="120"/>
      <c r="E26" s="120"/>
      <c r="F26" s="38"/>
      <c r="G26" s="38"/>
      <c r="H26" s="38"/>
      <c r="I26" s="38"/>
      <c r="J26" s="38"/>
      <c r="K26" s="38"/>
      <c r="L26" s="38"/>
      <c r="M26" s="38"/>
      <c r="N26" s="38"/>
      <c r="O26" s="34"/>
      <c r="P26" s="34"/>
    </row>
    <row r="27" spans="1:16" ht="22" customHeight="1" x14ac:dyDescent="0.2">
      <c r="A27" s="120"/>
      <c r="B27" s="120"/>
      <c r="C27" s="120"/>
      <c r="D27" s="120"/>
      <c r="E27" s="120"/>
      <c r="F27" s="38"/>
      <c r="G27" s="38"/>
      <c r="H27" s="38"/>
      <c r="I27" s="38"/>
      <c r="J27" s="38"/>
      <c r="K27" s="38"/>
      <c r="L27" s="38"/>
      <c r="M27" s="38"/>
      <c r="N27" s="38"/>
      <c r="O27" s="34"/>
      <c r="P27" s="34"/>
    </row>
    <row r="28" spans="1:16" ht="22" customHeight="1" x14ac:dyDescent="0.2">
      <c r="A28" s="120"/>
      <c r="B28" s="120"/>
      <c r="C28" s="120"/>
      <c r="D28" s="120"/>
      <c r="E28" s="120"/>
      <c r="F28" s="38"/>
      <c r="G28" s="38"/>
      <c r="H28" s="38"/>
      <c r="I28" s="38"/>
      <c r="J28" s="38"/>
      <c r="K28" s="38"/>
      <c r="L28" s="38"/>
      <c r="M28" s="38"/>
      <c r="N28" s="38"/>
      <c r="O28" s="34"/>
      <c r="P28" s="34"/>
    </row>
    <row r="29" spans="1:16" ht="22" customHeight="1" x14ac:dyDescent="0.2">
      <c r="A29" s="120"/>
      <c r="B29" s="120"/>
      <c r="C29" s="120"/>
      <c r="D29" s="120"/>
      <c r="E29" s="120"/>
      <c r="F29" s="38"/>
      <c r="G29" s="38"/>
      <c r="H29" s="38"/>
      <c r="I29" s="38"/>
      <c r="J29" s="38"/>
      <c r="K29" s="38"/>
      <c r="L29" s="38"/>
      <c r="M29" s="38"/>
      <c r="N29" s="38"/>
      <c r="O29" s="34"/>
      <c r="P29" s="34"/>
    </row>
    <row r="30" spans="1:16" ht="22" customHeight="1" x14ac:dyDescent="0.2">
      <c r="A30" s="120"/>
      <c r="B30" s="120"/>
      <c r="C30" s="120"/>
      <c r="D30" s="120"/>
      <c r="E30" s="120"/>
      <c r="F30" s="38"/>
      <c r="G30" s="38"/>
      <c r="H30" s="38"/>
      <c r="I30" s="38"/>
      <c r="J30" s="38"/>
      <c r="K30" s="38"/>
      <c r="L30" s="38"/>
      <c r="M30" s="38"/>
      <c r="N30" s="38"/>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38"/>
      <c r="B33" s="38"/>
      <c r="C33" s="38"/>
      <c r="D33" s="38"/>
      <c r="E33" s="38"/>
      <c r="F33" s="38"/>
      <c r="G33" s="38"/>
      <c r="H33" s="38"/>
      <c r="I33" s="38"/>
      <c r="J33" s="38"/>
      <c r="K33" s="38"/>
      <c r="L33" s="38"/>
      <c r="M33" s="38"/>
      <c r="N33" s="38"/>
      <c r="O33" s="38"/>
      <c r="P33" s="38"/>
    </row>
    <row r="34" spans="1:16" x14ac:dyDescent="0.2">
      <c r="A34" s="38"/>
      <c r="B34" s="38"/>
      <c r="C34" s="38"/>
      <c r="D34" s="38"/>
      <c r="E34" s="38"/>
      <c r="F34" s="38"/>
      <c r="G34" s="38"/>
      <c r="H34" s="38"/>
      <c r="I34" s="38"/>
      <c r="J34" s="38"/>
      <c r="K34" s="38"/>
      <c r="L34" s="38"/>
      <c r="M34" s="38"/>
      <c r="N34" s="38"/>
      <c r="O34" s="38"/>
      <c r="P34" s="38"/>
    </row>
    <row r="35" spans="1:16" x14ac:dyDescent="0.2">
      <c r="A35" s="38"/>
      <c r="B35" s="38"/>
      <c r="C35" s="38"/>
      <c r="D35" s="38"/>
      <c r="E35" s="38"/>
      <c r="F35" s="38"/>
      <c r="G35" s="38"/>
      <c r="H35" s="38"/>
      <c r="I35" s="38"/>
      <c r="J35" s="38"/>
      <c r="K35" s="38"/>
      <c r="L35" s="38"/>
      <c r="M35" s="38"/>
      <c r="N35" s="38"/>
      <c r="O35" s="38"/>
      <c r="P35" s="38"/>
    </row>
    <row r="36" spans="1:16" x14ac:dyDescent="0.2">
      <c r="A36" s="38"/>
      <c r="B36" s="38"/>
      <c r="C36" s="38"/>
      <c r="D36" s="38"/>
      <c r="E36" s="38"/>
      <c r="F36" s="38"/>
      <c r="G36" s="38"/>
      <c r="H36" s="38"/>
      <c r="I36" s="38"/>
      <c r="J36" s="38"/>
      <c r="K36" s="38"/>
      <c r="L36" s="38"/>
      <c r="M36" s="38"/>
      <c r="N36" s="38"/>
      <c r="O36" s="38"/>
      <c r="P36" s="38"/>
    </row>
    <row r="37" spans="1:16" x14ac:dyDescent="0.2">
      <c r="A37" s="38"/>
      <c r="B37" s="38"/>
      <c r="C37" s="38"/>
      <c r="D37" s="38"/>
      <c r="E37" s="38"/>
      <c r="F37" s="38"/>
      <c r="G37" s="38"/>
      <c r="H37" s="38"/>
      <c r="I37" s="38"/>
      <c r="J37" s="38"/>
      <c r="K37" s="38"/>
      <c r="L37" s="38"/>
      <c r="M37" s="38"/>
      <c r="N37" s="38"/>
      <c r="O37" s="38"/>
      <c r="P37" s="38"/>
    </row>
    <row r="38" spans="1:16" x14ac:dyDescent="0.2">
      <c r="A38" s="38"/>
      <c r="B38" s="38"/>
      <c r="C38" s="38"/>
      <c r="D38" s="38"/>
      <c r="E38" s="38"/>
      <c r="F38" s="38"/>
      <c r="G38" s="38"/>
      <c r="H38" s="38"/>
      <c r="I38" s="38"/>
      <c r="J38" s="38"/>
      <c r="K38" s="38"/>
      <c r="L38" s="38"/>
      <c r="M38" s="38"/>
      <c r="N38" s="38"/>
      <c r="O38" s="38"/>
      <c r="P38" s="38"/>
    </row>
    <row r="39" spans="1:16" x14ac:dyDescent="0.2">
      <c r="A39" s="38"/>
      <c r="B39" s="38"/>
      <c r="C39" s="38"/>
      <c r="D39" s="38"/>
      <c r="E39" s="38"/>
      <c r="F39" s="38"/>
      <c r="G39" s="38"/>
      <c r="H39" s="38"/>
      <c r="I39" s="38"/>
      <c r="J39" s="38"/>
      <c r="K39" s="38"/>
      <c r="L39" s="38"/>
      <c r="M39" s="38"/>
      <c r="N39" s="38"/>
      <c r="O39" s="38"/>
      <c r="P39" s="38"/>
    </row>
    <row r="40" spans="1:16" x14ac:dyDescent="0.2">
      <c r="A40" s="38"/>
      <c r="B40" s="38"/>
      <c r="C40" s="38"/>
      <c r="D40" s="38"/>
      <c r="E40" s="38"/>
      <c r="F40" s="38"/>
      <c r="G40" s="38"/>
      <c r="H40" s="38"/>
      <c r="I40" s="38"/>
      <c r="J40" s="38"/>
      <c r="K40" s="38"/>
      <c r="L40" s="38"/>
      <c r="M40" s="38"/>
      <c r="N40" s="38"/>
      <c r="O40" s="38"/>
      <c r="P40" s="38"/>
    </row>
    <row r="41" spans="1:16" x14ac:dyDescent="0.2">
      <c r="A41" s="38"/>
      <c r="B41" s="38"/>
      <c r="C41" s="38"/>
      <c r="D41" s="38"/>
      <c r="E41" s="38"/>
      <c r="F41" s="38"/>
      <c r="G41" s="38"/>
      <c r="H41" s="38"/>
      <c r="I41" s="38"/>
      <c r="J41" s="38"/>
      <c r="K41" s="38"/>
      <c r="L41" s="38"/>
      <c r="M41" s="38"/>
      <c r="N41" s="38"/>
      <c r="O41" s="38"/>
      <c r="P41" s="38"/>
    </row>
    <row r="42" spans="1:16" x14ac:dyDescent="0.2">
      <c r="A42" s="38"/>
      <c r="B42" s="38"/>
      <c r="C42" s="38"/>
      <c r="D42" s="38"/>
      <c r="E42" s="38"/>
      <c r="F42" s="38"/>
      <c r="G42" s="38"/>
      <c r="H42" s="38"/>
      <c r="I42" s="38"/>
      <c r="J42" s="38"/>
      <c r="K42" s="38"/>
      <c r="L42" s="38"/>
      <c r="M42" s="38"/>
      <c r="N42" s="38"/>
      <c r="O42" s="38"/>
      <c r="P42" s="38"/>
    </row>
    <row r="43" spans="1:16" x14ac:dyDescent="0.2">
      <c r="A43" s="38"/>
      <c r="B43" s="38"/>
      <c r="C43" s="38"/>
      <c r="D43" s="38"/>
      <c r="E43" s="38"/>
      <c r="F43" s="38"/>
      <c r="G43" s="38"/>
      <c r="H43" s="38"/>
      <c r="I43" s="38"/>
      <c r="J43" s="38"/>
      <c r="K43" s="38"/>
      <c r="L43" s="38"/>
      <c r="M43" s="38"/>
      <c r="N43" s="38"/>
      <c r="O43" s="38"/>
      <c r="P43" s="38"/>
    </row>
    <row r="44" spans="1:16" x14ac:dyDescent="0.2">
      <c r="A44" s="38"/>
      <c r="B44" s="38"/>
      <c r="C44" s="38"/>
      <c r="D44" s="38"/>
      <c r="E44" s="38"/>
      <c r="F44" s="38"/>
      <c r="G44" s="38"/>
      <c r="H44" s="38"/>
      <c r="I44" s="38"/>
      <c r="J44" s="38"/>
      <c r="K44" s="38"/>
      <c r="L44" s="38"/>
      <c r="M44" s="38"/>
      <c r="N44" s="38"/>
      <c r="O44" s="38"/>
      <c r="P44" s="38"/>
    </row>
    <row r="45" spans="1:16" x14ac:dyDescent="0.2">
      <c r="A45" s="38"/>
      <c r="B45" s="38"/>
      <c r="C45" s="38"/>
      <c r="D45" s="38"/>
      <c r="E45" s="38"/>
      <c r="F45" s="38"/>
      <c r="G45" s="38"/>
      <c r="H45" s="38"/>
      <c r="I45" s="38"/>
      <c r="J45" s="38"/>
      <c r="K45" s="38"/>
      <c r="L45" s="38"/>
      <c r="M45" s="38"/>
      <c r="N45" s="38"/>
      <c r="O45" s="38"/>
      <c r="P45" s="38"/>
    </row>
    <row r="46" spans="1:16" x14ac:dyDescent="0.2">
      <c r="A46" s="38"/>
      <c r="B46" s="38"/>
      <c r="C46" s="38"/>
      <c r="D46" s="38"/>
      <c r="E46" s="38"/>
      <c r="F46" s="38"/>
      <c r="G46" s="38"/>
      <c r="H46" s="38"/>
      <c r="I46" s="38"/>
      <c r="J46" s="38"/>
      <c r="K46" s="38"/>
      <c r="L46" s="38"/>
      <c r="M46" s="38"/>
      <c r="N46" s="38"/>
      <c r="O46" s="38"/>
      <c r="P46" s="38"/>
    </row>
    <row r="47" spans="1:16" x14ac:dyDescent="0.2">
      <c r="A47" s="38"/>
      <c r="B47" s="38"/>
      <c r="C47" s="38"/>
      <c r="D47" s="38"/>
      <c r="E47" s="38"/>
      <c r="F47" s="38"/>
      <c r="G47" s="38"/>
      <c r="H47" s="38"/>
      <c r="I47" s="38"/>
      <c r="J47" s="38"/>
      <c r="K47" s="38"/>
      <c r="L47" s="38"/>
      <c r="M47" s="38"/>
      <c r="N47" s="38"/>
      <c r="O47" s="38"/>
      <c r="P47" s="38"/>
    </row>
    <row r="48" spans="1:16" x14ac:dyDescent="0.2">
      <c r="A48" s="38"/>
      <c r="B48" s="38"/>
      <c r="C48" s="38"/>
      <c r="D48" s="38"/>
      <c r="E48" s="38"/>
      <c r="F48" s="38"/>
      <c r="G48" s="38"/>
      <c r="H48" s="38"/>
      <c r="I48" s="38"/>
      <c r="J48" s="38"/>
      <c r="K48" s="38"/>
      <c r="L48" s="38"/>
      <c r="M48" s="38"/>
      <c r="N48" s="38"/>
      <c r="O48" s="38"/>
      <c r="P48" s="38"/>
    </row>
    <row r="49" spans="1:16" x14ac:dyDescent="0.2">
      <c r="A49" s="38"/>
      <c r="B49" s="38"/>
      <c r="C49" s="38"/>
      <c r="D49" s="38"/>
      <c r="E49" s="38"/>
      <c r="F49" s="38"/>
      <c r="G49" s="38"/>
      <c r="H49" s="38"/>
      <c r="I49" s="38"/>
      <c r="J49" s="38"/>
      <c r="K49" s="38"/>
      <c r="L49" s="38"/>
      <c r="M49" s="38"/>
      <c r="N49" s="38"/>
      <c r="O49" s="38"/>
      <c r="P49" s="38"/>
    </row>
    <row r="50" spans="1:16" x14ac:dyDescent="0.2">
      <c r="A50" s="38"/>
      <c r="B50" s="38"/>
      <c r="C50" s="38"/>
      <c r="D50" s="38"/>
      <c r="E50" s="38"/>
      <c r="F50" s="38"/>
      <c r="G50" s="38"/>
      <c r="H50" s="38"/>
      <c r="I50" s="38"/>
      <c r="J50" s="38"/>
      <c r="K50" s="38"/>
      <c r="L50" s="38"/>
      <c r="M50" s="38"/>
      <c r="N50" s="38"/>
      <c r="O50" s="38"/>
      <c r="P50" s="38"/>
    </row>
    <row r="51" spans="1:16" x14ac:dyDescent="0.2">
      <c r="A51" s="38"/>
      <c r="B51" s="38"/>
      <c r="C51" s="38"/>
      <c r="D51" s="38"/>
      <c r="E51" s="38"/>
      <c r="F51" s="38"/>
      <c r="G51" s="38"/>
      <c r="H51" s="38"/>
      <c r="I51" s="38"/>
      <c r="J51" s="38"/>
      <c r="K51" s="38"/>
      <c r="L51" s="38"/>
      <c r="M51" s="38"/>
      <c r="N51" s="38"/>
      <c r="O51" s="38"/>
      <c r="P51" s="38"/>
    </row>
    <row r="52" spans="1:16" x14ac:dyDescent="0.2">
      <c r="A52" s="38"/>
      <c r="B52" s="38"/>
      <c r="C52" s="38"/>
      <c r="D52" s="38"/>
      <c r="E52" s="38"/>
      <c r="F52" s="38"/>
      <c r="G52" s="38"/>
      <c r="H52" s="38"/>
      <c r="I52" s="38"/>
      <c r="J52" s="38"/>
      <c r="K52" s="38"/>
      <c r="L52" s="38"/>
      <c r="M52" s="38"/>
      <c r="N52" s="38"/>
      <c r="O52" s="38"/>
      <c r="P52" s="38"/>
    </row>
    <row r="53" spans="1:16" x14ac:dyDescent="0.2">
      <c r="A53" s="38"/>
      <c r="B53" s="38"/>
      <c r="C53" s="38"/>
      <c r="D53" s="38"/>
      <c r="E53" s="38"/>
      <c r="F53" s="38"/>
      <c r="G53" s="38"/>
      <c r="H53" s="38"/>
      <c r="I53" s="38"/>
      <c r="J53" s="38"/>
      <c r="K53" s="38"/>
      <c r="L53" s="38"/>
      <c r="M53" s="38"/>
      <c r="N53" s="38"/>
      <c r="O53" s="38"/>
      <c r="P53" s="38"/>
    </row>
    <row r="54" spans="1:16" x14ac:dyDescent="0.2">
      <c r="A54" s="38"/>
      <c r="B54" s="38"/>
      <c r="C54" s="38"/>
      <c r="D54" s="38"/>
      <c r="E54" s="38"/>
      <c r="F54" s="38"/>
      <c r="G54" s="38"/>
      <c r="H54" s="38"/>
      <c r="I54" s="38"/>
      <c r="J54" s="38"/>
      <c r="K54" s="38"/>
      <c r="L54" s="38"/>
      <c r="M54" s="38"/>
      <c r="N54" s="38"/>
      <c r="O54" s="38"/>
      <c r="P54" s="38"/>
    </row>
    <row r="55" spans="1:16" x14ac:dyDescent="0.2">
      <c r="A55" s="38"/>
      <c r="B55" s="38"/>
      <c r="C55" s="38"/>
      <c r="D55" s="38"/>
      <c r="E55" s="38"/>
      <c r="F55" s="38"/>
      <c r="G55" s="38"/>
      <c r="H55" s="38"/>
      <c r="I55" s="38"/>
      <c r="J55" s="38"/>
      <c r="K55" s="38"/>
      <c r="L55" s="38"/>
      <c r="M55" s="38"/>
      <c r="N55" s="38"/>
      <c r="O55" s="38"/>
      <c r="P55" s="38"/>
    </row>
    <row r="56" spans="1:16" x14ac:dyDescent="0.2">
      <c r="A56" s="38"/>
      <c r="B56" s="38"/>
      <c r="C56" s="38"/>
      <c r="D56" s="38"/>
      <c r="E56" s="38"/>
      <c r="F56" s="38"/>
      <c r="G56" s="38"/>
      <c r="H56" s="38"/>
      <c r="I56" s="38"/>
      <c r="J56" s="38"/>
      <c r="K56" s="38"/>
      <c r="L56" s="38"/>
      <c r="M56" s="38"/>
      <c r="N56" s="38"/>
      <c r="O56" s="38"/>
      <c r="P56" s="38"/>
    </row>
    <row r="57" spans="1:16" x14ac:dyDescent="0.2">
      <c r="A57" s="38"/>
      <c r="B57" s="38"/>
      <c r="C57" s="38"/>
      <c r="D57" s="38"/>
      <c r="E57" s="38"/>
      <c r="F57" s="38"/>
      <c r="G57" s="38"/>
      <c r="H57" s="38"/>
      <c r="I57" s="38"/>
      <c r="J57" s="38"/>
      <c r="K57" s="38"/>
      <c r="L57" s="38"/>
      <c r="M57" s="38"/>
      <c r="N57" s="38"/>
      <c r="O57" s="38"/>
      <c r="P57" s="38"/>
    </row>
    <row r="58" spans="1:16" x14ac:dyDescent="0.2">
      <c r="A58" s="38"/>
      <c r="B58" s="38"/>
      <c r="C58" s="38"/>
      <c r="D58" s="38"/>
      <c r="E58" s="38"/>
      <c r="F58" s="38"/>
      <c r="G58" s="38"/>
      <c r="H58" s="38"/>
      <c r="I58" s="38"/>
      <c r="J58" s="38"/>
      <c r="K58" s="38"/>
      <c r="L58" s="38"/>
      <c r="M58" s="38"/>
      <c r="N58" s="38"/>
      <c r="O58" s="38"/>
      <c r="P58" s="38"/>
    </row>
    <row r="59" spans="1:16" x14ac:dyDescent="0.2">
      <c r="A59" s="38"/>
      <c r="B59" s="38"/>
      <c r="C59" s="38"/>
      <c r="D59" s="38"/>
      <c r="E59" s="38"/>
      <c r="F59" s="38"/>
      <c r="G59" s="38"/>
      <c r="H59" s="38"/>
      <c r="I59" s="38"/>
      <c r="J59" s="38"/>
      <c r="K59" s="38"/>
      <c r="L59" s="38"/>
      <c r="M59" s="38"/>
      <c r="N59" s="38"/>
      <c r="O59" s="38"/>
      <c r="P59" s="38"/>
    </row>
    <row r="60" spans="1:16" x14ac:dyDescent="0.2">
      <c r="A60" s="38"/>
      <c r="B60" s="38"/>
      <c r="C60" s="38"/>
      <c r="D60" s="38"/>
      <c r="E60" s="38"/>
      <c r="F60" s="38"/>
      <c r="G60" s="38"/>
      <c r="H60" s="38"/>
      <c r="I60" s="38"/>
      <c r="J60" s="38"/>
      <c r="K60" s="38"/>
      <c r="L60" s="38"/>
      <c r="M60" s="38"/>
      <c r="N60" s="38"/>
      <c r="O60" s="38"/>
      <c r="P60" s="38"/>
    </row>
    <row r="61" spans="1:16" x14ac:dyDescent="0.2">
      <c r="A61" s="38"/>
      <c r="B61" s="38"/>
      <c r="C61" s="38"/>
      <c r="D61" s="38"/>
      <c r="E61" s="38"/>
      <c r="F61" s="38"/>
      <c r="G61" s="38"/>
      <c r="H61" s="38"/>
      <c r="I61" s="38"/>
      <c r="J61" s="38"/>
      <c r="K61" s="38"/>
      <c r="L61" s="38"/>
      <c r="M61" s="38"/>
      <c r="N61" s="38"/>
      <c r="O61" s="38"/>
      <c r="P61" s="38"/>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S/explorer/revenue_proj" xr:uid="{DCF4CE2E-3109-134C-BC3F-09E196845E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2023-12-03T14:26:46Z</dcterms:modified>
</cp:coreProperties>
</file>