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955CA3A2-357E-1E48-896E-E939EA621F7B}"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G6" i="2"/>
  <c r="E6" i="2"/>
  <c r="O5" i="2"/>
  <c r="G5" i="2"/>
  <c r="C4" i="2"/>
  <c r="A4" i="2"/>
  <c r="C3" i="2"/>
  <c r="A22" i="2" a="1"/>
  <c r="A22" i="2" s="1"/>
  <c r="D21" i="2" a="1"/>
  <c r="D21" i="2" s="1"/>
  <c r="A21" i="2" a="1"/>
  <c r="A21" i="2" s="1"/>
  <c r="J17" i="2"/>
  <c r="I17" i="2"/>
  <c r="H17" i="2"/>
  <c r="G17" i="2"/>
  <c r="F17" i="2"/>
  <c r="C6" i="2" s="1"/>
  <c r="E17" i="2"/>
  <c r="D17" i="2"/>
  <c r="C17" i="2"/>
  <c r="B17" i="2"/>
  <c r="J16" i="2"/>
  <c r="I16" i="2"/>
  <c r="H16" i="2"/>
  <c r="K16" i="2" s="1"/>
  <c r="G16" i="2"/>
  <c r="F16" i="2"/>
  <c r="E16" i="2"/>
  <c r="D16" i="2"/>
  <c r="C16" i="2"/>
  <c r="O15" i="2"/>
  <c r="J14" i="2"/>
  <c r="I14" i="2"/>
  <c r="H14" i="2"/>
  <c r="G14" i="2"/>
  <c r="F14" i="2"/>
  <c r="E14" i="2"/>
  <c r="D14" i="2"/>
  <c r="C14" i="2"/>
  <c r="B14" i="2"/>
  <c r="J13" i="2"/>
  <c r="I13" i="2"/>
  <c r="H13" i="2"/>
  <c r="G13" i="2"/>
  <c r="F13" i="2"/>
  <c r="E13" i="2"/>
  <c r="D13" i="2"/>
  <c r="C13" i="2"/>
  <c r="J11" i="2"/>
  <c r="I11" i="2"/>
  <c r="H11" i="2"/>
  <c r="G11" i="2"/>
  <c r="F11" i="2"/>
  <c r="E11" i="2"/>
  <c r="D11" i="2"/>
  <c r="C11" i="2"/>
  <c r="E3" i="2" s="1"/>
  <c r="O11" i="2"/>
  <c r="O8" i="2"/>
  <c r="O12" i="2" s="1"/>
  <c r="K5" i="2" a="1"/>
  <c r="K5" i="2" s="1"/>
  <c r="C5" i="2"/>
  <c r="A5" i="2" a="1"/>
  <c r="A5" i="2" s="1"/>
  <c r="K4" i="2" a="1"/>
  <c r="K4" i="2" s="1"/>
  <c r="A3" i="2" a="1"/>
  <c r="A3" i="2" s="1"/>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H12" i="1"/>
  <c r="G12" i="1"/>
  <c r="F12" i="1"/>
  <c r="E12" i="1"/>
  <c r="D12" i="1"/>
  <c r="C12" i="1"/>
  <c r="B12" i="1"/>
  <c r="J3" i="1"/>
  <c r="I3" i="1"/>
  <c r="H3" i="1"/>
  <c r="F3" i="1"/>
  <c r="E3" i="1"/>
  <c r="D3" i="1"/>
  <c r="C3" i="1"/>
  <c r="K3" i="2" l="1"/>
  <c r="K13" i="2"/>
  <c r="E5" i="2"/>
  <c r="E4" i="2"/>
  <c r="K11" i="2"/>
  <c r="G4" i="2"/>
  <c r="O20" i="2"/>
  <c r="C7" i="2"/>
  <c r="O19" i="2"/>
  <c r="O21" i="2" l="1"/>
  <c r="O22" i="2" s="1"/>
  <c r="A6" i="2"/>
  <c r="A7" i="2"/>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<sst xmlns="http://schemas.openxmlformats.org/spreadsheetml/2006/main" count="826" uniqueCount="244">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</sst>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11" fillId="8" borderId="3" xfId="0" applyFont="1" applyFill="1" applyBorder="1" applyAlignment="1">
      <alignment horizontal="left" vertical="center"/>
    </xf>
    <xf numFmtId="164" fontId="11" fillId="8" borderId="3" xfId="0" applyNumberFormat="1" applyFont="1" applyFill="1" applyBorder="1"/>
    <xf numFmtId="9" fontId="11" fillId="8"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3" fontId="5" fillId="0" borderId="4" xfId="0" applyNumberFormat="1" applyFont="1" applyBorder="1"/>
    <xf numFmtId="3" fontId="6" fillId="4" borderId="4" xfId="0" applyNumberFormat="1" applyFont="1" applyFill="1" applyBorder="1"/>
    <xf numFmtId="0" fontId="3" fillId="0" borderId="4" xfId="0" applyFont="1" applyBorder="1"/>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4" fontId="4" fillId="9" borderId="6"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5"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10" fontId="12" fillId="12" borderId="24"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6" xfId="0" applyFont="1" applyFill="1" applyBorder="1" applyAlignment="1">
      <alignment horizontal="left" vertical="center" wrapText="1"/>
    </xf>
    <xf numFmtId="10" fontId="20" fillId="12" borderId="27" xfId="0" applyNumberFormat="1" applyFont="1" applyFill="1" applyBorder="1" applyAlignment="1">
      <alignment vertical="center"/>
    </xf>
    <xf numFmtId="9" fontId="13" fillId="10" borderId="26"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7" xfId="0" applyNumberFormat="1" applyFont="1" applyFill="1" applyBorder="1" applyAlignment="1">
      <alignment horizontal="right" vertical="center"/>
    </xf>
    <xf numFmtId="0" fontId="12" fillId="12" borderId="11"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26" xfId="1" applyFont="1" applyFill="1" applyBorder="1" applyAlignment="1">
      <alignment horizontal="center" vertical="center"/>
    </xf>
    <xf numFmtId="9" fontId="4" fillId="10" borderId="27" xfId="1" applyFont="1" applyFill="1" applyBorder="1" applyAlignment="1">
      <alignment horizontal="center" vertical="center"/>
    </xf>
    <xf numFmtId="10" fontId="13" fillId="9" borderId="26" xfId="1" applyNumberFormat="1" applyFont="1" applyFill="1" applyBorder="1" applyAlignment="1">
      <alignment horizontal="center" vertical="center"/>
    </xf>
    <xf numFmtId="10" fontId="13" fillId="9" borderId="27"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https://www.bing.com/financeapi/forcetrigger?t=c22our&amp;q=XNAS%3aDLO&amp;form=skydnc</v>
    <v>Learn more on Bing</v>
  </rv>
  <rv s="1">
    <v>0</v>
    <v>dLocal Ltd (XNAS:DLO)</v>
    <v>2</v>
    <v>3</v>
    <v>Finance</v>
    <v>4</v>
    <v>en-US</v>
    <v>c22our</v>
    <v>268435456</v>
    <v>1</v>
    <v>Powered by Refinitiv</v>
    <v>24.216799999999999</v>
    <v>9.0399999999999991</v>
    <v>2.0670000000000002</v>
    <v>0.56999999999999995</v>
    <v>3.3043000000000003E-2</v>
    <v>-0.04</v>
    <v>-2.245E-3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867</v>
    <v>Nasdaq Stock Market</v>
    <v>XNAS</v>
    <v>XNAS</v>
    <v>Dr Luis Bonavita, 1294, MONTEVIDEO, URUGUAY-NA, 11300 UY</v>
    <v>18</v>
    <v>Professional &amp; Commercial Services</v>
    <v>Stock</v>
    <v>45261.989779363284</v>
    <v>0</v>
    <v>17.094000000000001</v>
    <v>5159922000</v>
    <v>dLocal Ltd</v>
    <v>dLocal Ltd</v>
    <v>17.239999999999998</v>
    <v>38.4375</v>
    <v>17.25</v>
    <v>17.82</v>
    <v>17.78</v>
    <v>289557900</v>
    <v>DLO</v>
    <v>dLocal Ltd (XNAS:DLO)</v>
    <v>465939</v>
    <v>1002077</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L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D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17" workbookViewId="0">
      <pane xSplit="1" topLeftCell="B1" activePane="topRight" state="frozen"/>
      <selection pane="topRight" activeCell="B182" sqref="B182"/>
    </sheetView>
  </sheetViews>
  <sheetFormatPr baseColWidth="10" defaultRowHeight="15" x14ac:dyDescent="0.2"/>
  <cols>
    <col min="1" max="1" width="40.83203125" customWidth="1"/>
    <col min="2" max="11" width="14.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6" t="s">
        <v>9</v>
      </c>
      <c r="B2" s="34">
        <v>55289000</v>
      </c>
      <c r="C2" s="34">
        <v>104143000</v>
      </c>
      <c r="D2" s="34">
        <v>244120000</v>
      </c>
      <c r="E2" s="34">
        <v>418925000</v>
      </c>
      <c r="F2" s="35">
        <v>528717000</v>
      </c>
      <c r="G2" s="34">
        <v>111864000</v>
      </c>
      <c r="H2" s="34">
        <v>118428000</v>
      </c>
      <c r="I2" s="34">
        <v>137287000</v>
      </c>
      <c r="J2" s="34">
        <v>161138000</v>
      </c>
    </row>
    <row r="3" spans="1:10" ht="16" x14ac:dyDescent="0.2">
      <c r="A3" s="9" t="s">
        <v>182</v>
      </c>
      <c r="B3" s="10"/>
      <c r="C3" s="11">
        <f t="shared" ref="C3:J3" si="0">(C2/B2)-1</f>
        <v>0.88361156830472609</v>
      </c>
      <c r="D3" s="11">
        <f t="shared" si="0"/>
        <v>1.3440845760156708</v>
      </c>
      <c r="E3" s="11">
        <f t="shared" si="0"/>
        <v>0.71606177289857453</v>
      </c>
      <c r="F3" s="11">
        <f t="shared" si="0"/>
        <v>0.26208032464044884</v>
      </c>
      <c r="G3" s="11"/>
      <c r="H3" s="11">
        <f t="shared" si="0"/>
        <v>5.867839519416429E-2</v>
      </c>
      <c r="I3" s="11">
        <f t="shared" si="0"/>
        <v>0.1592444354375655</v>
      </c>
      <c r="J3" s="11">
        <f t="shared" si="0"/>
        <v>0.17373094320656723</v>
      </c>
    </row>
    <row r="4" spans="1:10" ht="16" x14ac:dyDescent="0.2">
      <c r="A4" s="3" t="s">
        <v>10</v>
      </c>
      <c r="B4" s="4">
        <v>55289000</v>
      </c>
      <c r="C4" s="4">
        <v>104143000</v>
      </c>
      <c r="D4" s="4">
        <v>244120000</v>
      </c>
      <c r="E4" s="4">
        <v>418925000</v>
      </c>
      <c r="F4" s="5">
        <v>528717000</v>
      </c>
      <c r="G4" s="4">
        <v>111864000</v>
      </c>
      <c r="H4" s="4">
        <v>118428000</v>
      </c>
      <c r="I4" s="4">
        <v>137287000</v>
      </c>
      <c r="J4" s="4">
        <v>161138000</v>
      </c>
    </row>
    <row r="5" spans="1:10" ht="16" x14ac:dyDescent="0.2">
      <c r="A5" s="3" t="s">
        <v>11</v>
      </c>
      <c r="B5" s="4">
        <v>19413000</v>
      </c>
      <c r="C5" s="4">
        <v>44065000</v>
      </c>
      <c r="D5" s="4">
        <v>113677000</v>
      </c>
      <c r="E5" s="4">
        <v>216758000</v>
      </c>
      <c r="F5" s="5">
        <v>287146000</v>
      </c>
      <c r="G5" s="4">
        <v>57992000</v>
      </c>
      <c r="H5" s="4">
        <v>63326000</v>
      </c>
      <c r="I5" s="4">
        <v>75450000</v>
      </c>
      <c r="J5" s="4">
        <v>90378000</v>
      </c>
    </row>
    <row r="6" spans="1:10" ht="16" x14ac:dyDescent="0.2">
      <c r="A6" s="3" t="s">
        <v>12</v>
      </c>
      <c r="B6" s="4">
        <v>19413000</v>
      </c>
      <c r="C6" s="4">
        <v>44065000</v>
      </c>
      <c r="D6" s="4">
        <v>113677000</v>
      </c>
      <c r="E6" s="4">
        <v>216758000</v>
      </c>
      <c r="F6" s="5">
        <v>287146000</v>
      </c>
      <c r="G6" s="4">
        <v>57992000</v>
      </c>
      <c r="H6" s="4">
        <v>63326000</v>
      </c>
      <c r="I6" s="4">
        <v>75450000</v>
      </c>
      <c r="J6" s="4">
        <v>90378000</v>
      </c>
    </row>
    <row r="7" spans="1:10" ht="16" x14ac:dyDescent="0.2">
      <c r="A7" s="36" t="s">
        <v>13</v>
      </c>
      <c r="B7" s="34">
        <v>35876000</v>
      </c>
      <c r="C7" s="34">
        <v>60078000</v>
      </c>
      <c r="D7" s="34">
        <v>130443000</v>
      </c>
      <c r="E7" s="34">
        <v>202167000</v>
      </c>
      <c r="F7" s="35">
        <v>241571000</v>
      </c>
      <c r="G7" s="34">
        <v>53872000</v>
      </c>
      <c r="H7" s="34">
        <v>55102000</v>
      </c>
      <c r="I7" s="34">
        <v>61837000</v>
      </c>
      <c r="J7" s="34">
        <v>70760000</v>
      </c>
    </row>
    <row r="8" spans="1:10" ht="16" x14ac:dyDescent="0.2">
      <c r="A8" s="31" t="s">
        <v>49</v>
      </c>
      <c r="B8" s="32">
        <v>64.89</v>
      </c>
      <c r="C8" s="32">
        <v>57.69</v>
      </c>
      <c r="D8" s="32">
        <v>53.43</v>
      </c>
      <c r="E8" s="32">
        <v>48.26</v>
      </c>
      <c r="F8" s="33">
        <v>45.69</v>
      </c>
      <c r="G8" s="32">
        <v>48.16</v>
      </c>
      <c r="H8" s="32">
        <v>46.53</v>
      </c>
      <c r="I8" s="32">
        <v>45.04</v>
      </c>
      <c r="J8" s="32">
        <v>43.91</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17505000</v>
      </c>
      <c r="C10" s="4">
        <v>27045000</v>
      </c>
      <c r="D10" s="4">
        <v>46572000</v>
      </c>
      <c r="E10" s="4">
        <v>68723000</v>
      </c>
      <c r="F10" s="5">
        <v>85066000</v>
      </c>
      <c r="G10" s="4">
        <v>16665000</v>
      </c>
      <c r="H10" s="4">
        <v>22960000</v>
      </c>
      <c r="I10" s="4">
        <v>22427000</v>
      </c>
      <c r="J10" s="4">
        <v>23014000</v>
      </c>
    </row>
    <row r="11" spans="1:10" ht="16" x14ac:dyDescent="0.2">
      <c r="A11" s="31" t="s">
        <v>17</v>
      </c>
      <c r="B11" s="34">
        <v>15923000</v>
      </c>
      <c r="C11" s="34">
        <v>22729000</v>
      </c>
      <c r="D11" s="34">
        <v>44150000</v>
      </c>
      <c r="E11" s="34">
        <v>61678000</v>
      </c>
      <c r="F11" s="35">
        <v>75730000</v>
      </c>
      <c r="G11" s="34">
        <v>13857000</v>
      </c>
      <c r="H11" s="34">
        <v>21362000</v>
      </c>
      <c r="I11" s="34">
        <v>20137000</v>
      </c>
      <c r="J11" s="34">
        <v>20374000</v>
      </c>
    </row>
    <row r="12" spans="1:10" ht="16" x14ac:dyDescent="0.2">
      <c r="A12" s="12" t="s">
        <v>183</v>
      </c>
      <c r="B12" s="13">
        <f t="shared" ref="B12:J12" si="1">B11/B2</f>
        <v>0.28799580386695367</v>
      </c>
      <c r="C12" s="13">
        <f t="shared" si="1"/>
        <v>0.2182479859424061</v>
      </c>
      <c r="D12" s="13">
        <f t="shared" si="1"/>
        <v>0.18085367851876127</v>
      </c>
      <c r="E12" s="13">
        <f t="shared" si="1"/>
        <v>0.1472292176403891</v>
      </c>
      <c r="F12" s="13">
        <f t="shared" si="1"/>
        <v>0.14323352568576384</v>
      </c>
      <c r="G12" s="13">
        <f t="shared" si="1"/>
        <v>0.12387363226775371</v>
      </c>
      <c r="H12" s="13">
        <f t="shared" si="1"/>
        <v>0.18037963995001183</v>
      </c>
      <c r="I12" s="13">
        <f t="shared" si="1"/>
        <v>0.14667812684376524</v>
      </c>
      <c r="J12" s="13">
        <f t="shared" si="1"/>
        <v>0.12643820824386551</v>
      </c>
    </row>
    <row r="13" spans="1:10" ht="16" x14ac:dyDescent="0.2">
      <c r="A13" s="31" t="s">
        <v>18</v>
      </c>
      <c r="B13" s="34">
        <v>1347000</v>
      </c>
      <c r="C13" s="34">
        <v>2005000</v>
      </c>
      <c r="D13" s="34">
        <v>3386000</v>
      </c>
      <c r="E13" s="34">
        <v>6348000</v>
      </c>
      <c r="F13" s="35">
        <v>8229000</v>
      </c>
      <c r="G13" s="34">
        <v>1692000</v>
      </c>
      <c r="H13" s="34">
        <v>1607000</v>
      </c>
      <c r="I13" s="34">
        <v>2290000</v>
      </c>
      <c r="J13" s="34">
        <v>2640000</v>
      </c>
    </row>
    <row r="14" spans="1:10" ht="16" x14ac:dyDescent="0.2">
      <c r="A14" s="14" t="s">
        <v>184</v>
      </c>
      <c r="B14" s="15">
        <f t="shared" ref="B14:J14" si="2">B13/B2</f>
        <v>2.436289316138834E-2</v>
      </c>
      <c r="C14" s="15">
        <f t="shared" si="2"/>
        <v>1.9252374139404473E-2</v>
      </c>
      <c r="D14" s="15">
        <f t="shared" si="2"/>
        <v>1.3870227756840898E-2</v>
      </c>
      <c r="E14" s="15">
        <f t="shared" si="2"/>
        <v>1.5153070358656083E-2</v>
      </c>
      <c r="F14" s="15">
        <f t="shared" si="2"/>
        <v>1.5564091943326959E-2</v>
      </c>
      <c r="G14" s="15">
        <f t="shared" si="2"/>
        <v>1.5125509547307445E-2</v>
      </c>
      <c r="H14" s="15">
        <f t="shared" si="2"/>
        <v>1.3569426149221468E-2</v>
      </c>
      <c r="I14" s="15">
        <f t="shared" si="2"/>
        <v>1.6680384887134251E-2</v>
      </c>
      <c r="J14" s="15">
        <f t="shared" si="2"/>
        <v>1.6383472551477617E-2</v>
      </c>
    </row>
    <row r="15" spans="1:10" ht="16" x14ac:dyDescent="0.2">
      <c r="A15" s="3" t="s">
        <v>19</v>
      </c>
      <c r="B15" s="4">
        <v>235000</v>
      </c>
      <c r="C15" s="4">
        <v>2311000</v>
      </c>
      <c r="D15" s="4">
        <v>-964000</v>
      </c>
      <c r="E15" s="4">
        <v>697000</v>
      </c>
      <c r="F15" s="5">
        <v>1107000</v>
      </c>
      <c r="G15" s="4">
        <v>1116000</v>
      </c>
      <c r="H15" s="4">
        <v>-9000</v>
      </c>
      <c r="I15" s="4" t="s">
        <v>15</v>
      </c>
      <c r="J15" s="4" t="s">
        <v>15</v>
      </c>
    </row>
    <row r="16" spans="1:10" ht="16" x14ac:dyDescent="0.2">
      <c r="A16" s="36" t="s">
        <v>20</v>
      </c>
      <c r="B16" s="34">
        <v>18371000</v>
      </c>
      <c r="C16" s="34">
        <v>33033000</v>
      </c>
      <c r="D16" s="34">
        <v>83871000</v>
      </c>
      <c r="E16" s="34">
        <v>133444000</v>
      </c>
      <c r="F16" s="35">
        <v>156505000</v>
      </c>
      <c r="G16" s="34">
        <v>37207000</v>
      </c>
      <c r="H16" s="34">
        <v>32142000</v>
      </c>
      <c r="I16" s="34">
        <v>39410000</v>
      </c>
      <c r="J16" s="34">
        <v>47746000</v>
      </c>
    </row>
    <row r="17" spans="1:10" ht="16" x14ac:dyDescent="0.2">
      <c r="A17" s="31" t="s">
        <v>50</v>
      </c>
      <c r="B17" s="32">
        <v>33.229999999999997</v>
      </c>
      <c r="C17" s="32">
        <v>31.72</v>
      </c>
      <c r="D17" s="32">
        <v>34.36</v>
      </c>
      <c r="E17" s="32">
        <v>31.85</v>
      </c>
      <c r="F17" s="33">
        <v>29.6</v>
      </c>
      <c r="G17" s="32">
        <v>33.26</v>
      </c>
      <c r="H17" s="32">
        <v>27.14</v>
      </c>
      <c r="I17" s="32">
        <v>28.71</v>
      </c>
      <c r="J17" s="32">
        <v>29.63</v>
      </c>
    </row>
    <row r="18" spans="1:10" ht="16" x14ac:dyDescent="0.2">
      <c r="A18" s="16" t="s">
        <v>185</v>
      </c>
      <c r="B18" s="17"/>
      <c r="C18" s="13">
        <f>(C16/B16)-1</f>
        <v>0.7981057100865494</v>
      </c>
      <c r="D18" s="13">
        <f>(D16/C16)-1</f>
        <v>1.5390064480973571</v>
      </c>
      <c r="E18" s="13">
        <f>(E16/D16)-1</f>
        <v>0.59106246497597503</v>
      </c>
      <c r="F18" s="13">
        <f t="shared" ref="F18:J18" si="3">(F16/E16)-1</f>
        <v>0.17281406432660895</v>
      </c>
      <c r="G18" s="13"/>
      <c r="H18" s="13">
        <f t="shared" si="3"/>
        <v>-0.13613029806219257</v>
      </c>
      <c r="I18" s="13">
        <f t="shared" si="3"/>
        <v>0.22612158546450134</v>
      </c>
      <c r="J18" s="13">
        <f t="shared" si="3"/>
        <v>0.21151991880233445</v>
      </c>
    </row>
    <row r="19" spans="1:10" ht="16" x14ac:dyDescent="0.2">
      <c r="A19" s="3" t="s">
        <v>21</v>
      </c>
      <c r="B19" s="4">
        <v>548000</v>
      </c>
      <c r="C19" s="4">
        <v>1615000</v>
      </c>
      <c r="D19" s="4">
        <v>-1629000</v>
      </c>
      <c r="E19" s="4">
        <v>13161000</v>
      </c>
      <c r="F19" s="5">
        <v>5285000</v>
      </c>
      <c r="G19" s="4">
        <v>2582000</v>
      </c>
      <c r="H19" s="4">
        <v>8843000</v>
      </c>
      <c r="I19" s="4">
        <v>-321000</v>
      </c>
      <c r="J19" s="4">
        <v>-5819000</v>
      </c>
    </row>
    <row r="20" spans="1:10" ht="16" x14ac:dyDescent="0.2">
      <c r="A20" s="3" t="s">
        <v>22</v>
      </c>
      <c r="B20" s="4">
        <v>-187000</v>
      </c>
      <c r="C20" s="4">
        <v>-423000</v>
      </c>
      <c r="D20" s="4">
        <v>-2414000</v>
      </c>
      <c r="E20" s="4">
        <v>6590000</v>
      </c>
      <c r="F20" s="5">
        <v>-3300000</v>
      </c>
      <c r="G20" s="4">
        <v>2479000</v>
      </c>
      <c r="H20" s="4">
        <v>3071000</v>
      </c>
      <c r="I20" s="4">
        <v>-1391000</v>
      </c>
      <c r="J20" s="4">
        <v>-7459000</v>
      </c>
    </row>
    <row r="21" spans="1:10" ht="16" x14ac:dyDescent="0.2">
      <c r="A21" s="3" t="s">
        <v>23</v>
      </c>
      <c r="B21" s="4">
        <v>30000</v>
      </c>
      <c r="C21" s="4">
        <v>20000</v>
      </c>
      <c r="D21" s="4">
        <v>142000</v>
      </c>
      <c r="E21" s="4">
        <v>24668000</v>
      </c>
      <c r="F21" s="5">
        <v>35108000</v>
      </c>
      <c r="G21" s="4">
        <v>9289000</v>
      </c>
      <c r="H21" s="4">
        <v>8803000</v>
      </c>
      <c r="I21" s="4">
        <v>5597000</v>
      </c>
      <c r="J21" s="4">
        <v>11419000</v>
      </c>
    </row>
    <row r="22" spans="1:10" ht="16" x14ac:dyDescent="0.2">
      <c r="A22" s="3" t="s">
        <v>24</v>
      </c>
      <c r="B22" s="4">
        <v>217000</v>
      </c>
      <c r="C22" s="4">
        <v>443000</v>
      </c>
      <c r="D22" s="4">
        <v>2556000</v>
      </c>
      <c r="E22" s="4">
        <v>18078000</v>
      </c>
      <c r="F22" s="5">
        <v>38408000</v>
      </c>
      <c r="G22" s="4">
        <v>6810000</v>
      </c>
      <c r="H22" s="4">
        <v>5732000</v>
      </c>
      <c r="I22" s="4">
        <v>6988000</v>
      </c>
      <c r="J22" s="4">
        <v>18878000</v>
      </c>
    </row>
    <row r="23" spans="1:10" ht="16" x14ac:dyDescent="0.2">
      <c r="A23" s="3" t="s">
        <v>25</v>
      </c>
      <c r="B23" s="4">
        <v>735000</v>
      </c>
      <c r="C23" s="4">
        <v>2038000</v>
      </c>
      <c r="D23" s="4">
        <v>785000</v>
      </c>
      <c r="E23" s="4">
        <v>6571000</v>
      </c>
      <c r="F23" s="5">
        <v>8585000</v>
      </c>
      <c r="G23" s="4">
        <v>103000</v>
      </c>
      <c r="H23" s="4">
        <v>5772000</v>
      </c>
      <c r="I23" s="4">
        <v>1070000</v>
      </c>
      <c r="J23" s="4">
        <v>1640000</v>
      </c>
    </row>
    <row r="24" spans="1:10" ht="16" x14ac:dyDescent="0.2">
      <c r="A24" s="3" t="s">
        <v>26</v>
      </c>
      <c r="B24" s="4">
        <v>17823000</v>
      </c>
      <c r="C24" s="4">
        <v>31418000</v>
      </c>
      <c r="D24" s="4">
        <v>85500000</v>
      </c>
      <c r="E24" s="4">
        <v>120283000</v>
      </c>
      <c r="F24" s="5">
        <v>151220000</v>
      </c>
      <c r="G24" s="4">
        <v>34625000</v>
      </c>
      <c r="H24" s="4">
        <v>23299000</v>
      </c>
      <c r="I24" s="4">
        <v>39731000</v>
      </c>
      <c r="J24" s="4">
        <v>53565000</v>
      </c>
    </row>
    <row r="25" spans="1:10" ht="16" x14ac:dyDescent="0.2">
      <c r="A25" s="3" t="s">
        <v>27</v>
      </c>
      <c r="B25" s="4">
        <v>2221000</v>
      </c>
      <c r="C25" s="4">
        <v>3231000</v>
      </c>
      <c r="D25" s="4">
        <v>7647000</v>
      </c>
      <c r="E25" s="4">
        <v>11586000</v>
      </c>
      <c r="F25" s="5">
        <v>19277000</v>
      </c>
      <c r="G25" s="4">
        <v>2287000</v>
      </c>
      <c r="H25" s="4">
        <v>3935000</v>
      </c>
      <c r="I25" s="4">
        <v>4281000</v>
      </c>
      <c r="J25" s="4">
        <v>8774000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15602000</v>
      </c>
      <c r="C27" s="4">
        <v>28187000</v>
      </c>
      <c r="D27" s="4">
        <v>77853000</v>
      </c>
      <c r="E27" s="4">
        <v>108697000</v>
      </c>
      <c r="F27" s="5">
        <v>131943000</v>
      </c>
      <c r="G27" s="4">
        <v>32338000</v>
      </c>
      <c r="H27" s="4">
        <v>19364000</v>
      </c>
      <c r="I27" s="4">
        <v>35450000</v>
      </c>
      <c r="J27" s="4">
        <v>44791000</v>
      </c>
    </row>
    <row r="28" spans="1:10" ht="16" x14ac:dyDescent="0.2">
      <c r="A28" s="3" t="s">
        <v>30</v>
      </c>
      <c r="B28" s="4" t="s">
        <v>15</v>
      </c>
      <c r="C28" s="4">
        <v>6000</v>
      </c>
      <c r="D28" s="4">
        <v>-46000</v>
      </c>
      <c r="E28" s="4">
        <v>28000</v>
      </c>
      <c r="F28" s="5">
        <v>-34000</v>
      </c>
      <c r="G28" s="4">
        <v>-248000</v>
      </c>
      <c r="H28" s="4">
        <v>14000</v>
      </c>
      <c r="I28" s="4">
        <v>12000</v>
      </c>
      <c r="J28" s="4">
        <v>188000</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v>6000</v>
      </c>
      <c r="D30" s="4">
        <v>-46000</v>
      </c>
      <c r="E30" s="4">
        <v>28000</v>
      </c>
      <c r="F30" s="5">
        <v>-34000</v>
      </c>
      <c r="G30" s="4">
        <v>-248000</v>
      </c>
      <c r="H30" s="4">
        <v>14000</v>
      </c>
      <c r="I30" s="4">
        <v>12000</v>
      </c>
      <c r="J30" s="4">
        <v>188000</v>
      </c>
    </row>
    <row r="31" spans="1:10" ht="16" x14ac:dyDescent="0.2">
      <c r="A31" s="3" t="s">
        <v>33</v>
      </c>
      <c r="B31" s="4">
        <v>15602000</v>
      </c>
      <c r="C31" s="4">
        <v>28181000</v>
      </c>
      <c r="D31" s="4">
        <v>77899000</v>
      </c>
      <c r="E31" s="4">
        <v>108669000</v>
      </c>
      <c r="F31" s="5">
        <v>131977000</v>
      </c>
      <c r="G31" s="4">
        <v>32586000</v>
      </c>
      <c r="H31" s="4">
        <v>19350000</v>
      </c>
      <c r="I31" s="4">
        <v>35438000</v>
      </c>
      <c r="J31" s="4">
        <v>44603000</v>
      </c>
    </row>
    <row r="32" spans="1:10" ht="16" x14ac:dyDescent="0.2">
      <c r="A32" s="3" t="s">
        <v>34</v>
      </c>
      <c r="B32" s="4" t="s">
        <v>15</v>
      </c>
      <c r="C32" s="4">
        <v>-3000</v>
      </c>
      <c r="D32" s="4">
        <v>23000</v>
      </c>
      <c r="E32" s="4">
        <v>-14000</v>
      </c>
      <c r="F32" s="5">
        <v>17000</v>
      </c>
      <c r="G32" s="4">
        <v>124000</v>
      </c>
      <c r="H32" s="4">
        <v>-7000</v>
      </c>
      <c r="I32" s="4">
        <v>-6000</v>
      </c>
      <c r="J32" s="4">
        <v>-94000</v>
      </c>
    </row>
    <row r="33" spans="1:10" ht="16" x14ac:dyDescent="0.2">
      <c r="A33" s="36" t="s">
        <v>35</v>
      </c>
      <c r="B33" s="34">
        <v>15602000</v>
      </c>
      <c r="C33" s="34">
        <v>28184000</v>
      </c>
      <c r="D33" s="34">
        <v>77876000</v>
      </c>
      <c r="E33" s="34">
        <v>108683000</v>
      </c>
      <c r="F33" s="35">
        <v>131960000</v>
      </c>
      <c r="G33" s="34">
        <v>32462000</v>
      </c>
      <c r="H33" s="34">
        <v>19357000</v>
      </c>
      <c r="I33" s="34">
        <v>35444000</v>
      </c>
      <c r="J33" s="34">
        <v>44697000</v>
      </c>
    </row>
    <row r="34" spans="1:10" ht="16" x14ac:dyDescent="0.2">
      <c r="A34" s="31" t="s">
        <v>51</v>
      </c>
      <c r="B34" s="32">
        <v>28.22</v>
      </c>
      <c r="C34" s="32">
        <v>27.06</v>
      </c>
      <c r="D34" s="32">
        <v>31.9</v>
      </c>
      <c r="E34" s="32">
        <v>25.94</v>
      </c>
      <c r="F34" s="33">
        <v>24.96</v>
      </c>
      <c r="G34" s="32">
        <v>29.02</v>
      </c>
      <c r="H34" s="32">
        <v>16.34</v>
      </c>
      <c r="I34" s="32">
        <v>25.82</v>
      </c>
      <c r="J34" s="32">
        <v>27.74</v>
      </c>
    </row>
    <row r="35" spans="1:10" ht="16" x14ac:dyDescent="0.2">
      <c r="A35" s="18" t="s">
        <v>186</v>
      </c>
      <c r="B35" s="19"/>
      <c r="C35" s="15">
        <f>(C33/B33)-1</f>
        <v>0.80643507242661205</v>
      </c>
      <c r="D35" s="15">
        <f>(D33/C33)-1</f>
        <v>1.7631280158955436</v>
      </c>
      <c r="E35" s="15">
        <f>(E33/D33)-1</f>
        <v>0.39559042580512616</v>
      </c>
      <c r="F35" s="15">
        <f t="shared" ref="F35:J35" si="4">(F33/E33)-1</f>
        <v>0.2141733297755859</v>
      </c>
      <c r="G35" s="15"/>
      <c r="H35" s="15">
        <f t="shared" si="4"/>
        <v>-0.40370279095557882</v>
      </c>
      <c r="I35" s="15">
        <f t="shared" si="4"/>
        <v>0.83106886397685598</v>
      </c>
      <c r="J35" s="15">
        <f t="shared" si="4"/>
        <v>0.26105969980814803</v>
      </c>
    </row>
    <row r="36" spans="1:10" ht="16" x14ac:dyDescent="0.2">
      <c r="A36" s="20" t="s">
        <v>187</v>
      </c>
      <c r="B36" s="21">
        <f t="shared" ref="B36:J36" si="5">(B16*(1-0.25))/(B126+B105+B96)</f>
        <v>0.55272183889602056</v>
      </c>
      <c r="C36" s="21">
        <f t="shared" si="5"/>
        <v>0.54731476163124637</v>
      </c>
      <c r="D36" s="21">
        <f t="shared" si="5"/>
        <v>0.21747544452242579</v>
      </c>
      <c r="E36" s="21">
        <f t="shared" si="5"/>
        <v>0.24791490689845652</v>
      </c>
      <c r="F36" s="21">
        <f t="shared" si="5"/>
        <v>0.29870026592699095</v>
      </c>
      <c r="G36" s="21">
        <f t="shared" si="5"/>
        <v>7.0361195158850226E-2</v>
      </c>
      <c r="H36" s="21">
        <f t="shared" si="5"/>
        <v>5.9714044374645468E-2</v>
      </c>
      <c r="I36" s="21">
        <f t="shared" si="5"/>
        <v>7.2795627952338973E-2</v>
      </c>
      <c r="J36" s="21">
        <f t="shared" si="5"/>
        <v>9.1126436196607846E-2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15602000</v>
      </c>
      <c r="C39" s="4">
        <v>28184000</v>
      </c>
      <c r="D39" s="4">
        <v>77876000</v>
      </c>
      <c r="E39" s="4">
        <v>108683000</v>
      </c>
      <c r="F39" s="5">
        <v>131960000</v>
      </c>
      <c r="G39" s="4">
        <v>32462000</v>
      </c>
      <c r="H39" s="4">
        <v>19357000</v>
      </c>
      <c r="I39" s="4">
        <v>35444000</v>
      </c>
      <c r="J39" s="4">
        <v>44697000</v>
      </c>
    </row>
    <row r="40" spans="1:10" ht="16" x14ac:dyDescent="0.2">
      <c r="A40" s="3" t="s">
        <v>39</v>
      </c>
      <c r="B40" s="4">
        <v>292916000</v>
      </c>
      <c r="C40" s="4">
        <v>292916000</v>
      </c>
      <c r="D40" s="4">
        <v>287121000</v>
      </c>
      <c r="E40" s="4">
        <v>295624000</v>
      </c>
      <c r="F40" s="5">
        <v>294718750</v>
      </c>
      <c r="G40" s="4">
        <v>295919000</v>
      </c>
      <c r="H40" s="4">
        <v>296129000</v>
      </c>
      <c r="I40" s="4">
        <v>295126000</v>
      </c>
      <c r="J40" s="4">
        <v>291701000</v>
      </c>
    </row>
    <row r="41" spans="1:10" ht="16" x14ac:dyDescent="0.2">
      <c r="A41" s="3" t="s">
        <v>40</v>
      </c>
      <c r="B41" s="6">
        <v>0.05</v>
      </c>
      <c r="C41" s="6">
        <v>0.1</v>
      </c>
      <c r="D41" s="6">
        <v>0.27</v>
      </c>
      <c r="E41" s="6">
        <v>0.37</v>
      </c>
      <c r="F41" s="7">
        <v>0.45</v>
      </c>
      <c r="G41" s="6">
        <v>0.11</v>
      </c>
      <c r="H41" s="6">
        <v>7.0000000000000007E-2</v>
      </c>
      <c r="I41" s="6">
        <v>0.12</v>
      </c>
      <c r="J41" s="6">
        <v>0.15</v>
      </c>
    </row>
    <row r="42" spans="1:10" ht="16" x14ac:dyDescent="0.2">
      <c r="A42" s="3" t="s">
        <v>41</v>
      </c>
      <c r="B42" s="6">
        <v>0.05</v>
      </c>
      <c r="C42" s="6">
        <v>0.1</v>
      </c>
      <c r="D42" s="6">
        <v>0.27</v>
      </c>
      <c r="E42" s="6">
        <v>0.37</v>
      </c>
      <c r="F42" s="7">
        <v>0.45</v>
      </c>
      <c r="G42" s="6">
        <v>0.11</v>
      </c>
      <c r="H42" s="6">
        <v>7.0000000000000007E-2</v>
      </c>
      <c r="I42" s="6">
        <v>0.12</v>
      </c>
      <c r="J42" s="6">
        <v>0.15</v>
      </c>
    </row>
    <row r="43" spans="1:10" ht="16" x14ac:dyDescent="0.2">
      <c r="A43" s="3" t="s">
        <v>42</v>
      </c>
      <c r="B43" s="4">
        <v>292916000</v>
      </c>
      <c r="C43" s="4">
        <v>292916000</v>
      </c>
      <c r="D43" s="4">
        <v>308930000</v>
      </c>
      <c r="E43" s="4">
        <v>313139000</v>
      </c>
      <c r="F43" s="5">
        <v>311357500</v>
      </c>
      <c r="G43" s="4">
        <v>313165000</v>
      </c>
      <c r="H43" s="4">
        <v>312837000</v>
      </c>
      <c r="I43" s="4">
        <v>311567000</v>
      </c>
      <c r="J43" s="4">
        <v>307861000</v>
      </c>
    </row>
    <row r="44" spans="1:10" ht="16" x14ac:dyDescent="0.2">
      <c r="A44" s="3" t="s">
        <v>43</v>
      </c>
      <c r="B44" s="6">
        <v>0.05</v>
      </c>
      <c r="C44" s="6">
        <v>0.1</v>
      </c>
      <c r="D44" s="6">
        <v>0.25</v>
      </c>
      <c r="E44" s="6">
        <v>0.35</v>
      </c>
      <c r="F44" s="7">
        <v>0.42</v>
      </c>
      <c r="G44" s="6">
        <v>0.1</v>
      </c>
      <c r="H44" s="6">
        <v>0.06</v>
      </c>
      <c r="I44" s="6">
        <v>0.11</v>
      </c>
      <c r="J44" s="6">
        <v>0.15</v>
      </c>
    </row>
    <row r="45" spans="1:10" ht="16" x14ac:dyDescent="0.2">
      <c r="A45" s="3" t="s">
        <v>44</v>
      </c>
      <c r="B45" s="6">
        <v>0.05</v>
      </c>
      <c r="C45" s="6">
        <v>0.1</v>
      </c>
      <c r="D45" s="6">
        <v>0.25</v>
      </c>
      <c r="E45" s="6">
        <v>0.35</v>
      </c>
      <c r="F45" s="7">
        <v>0.42</v>
      </c>
      <c r="G45" s="6">
        <v>0.1</v>
      </c>
      <c r="H45" s="6">
        <v>0.06</v>
      </c>
      <c r="I45" s="6">
        <v>0.11</v>
      </c>
      <c r="J45" s="6">
        <v>0.15</v>
      </c>
    </row>
    <row r="46" spans="1:10" ht="16" x14ac:dyDescent="0.2">
      <c r="A46" s="3" t="s">
        <v>45</v>
      </c>
      <c r="B46" s="4">
        <v>18780000</v>
      </c>
      <c r="C46" s="4">
        <v>34025000</v>
      </c>
      <c r="D46" s="4">
        <v>88618000</v>
      </c>
      <c r="E46" s="4">
        <v>141591000</v>
      </c>
      <c r="F46" s="5">
        <v>166456000</v>
      </c>
      <c r="G46" s="4">
        <v>39317000</v>
      </c>
      <c r="H46" s="4">
        <v>34599000</v>
      </c>
      <c r="I46" s="4">
        <v>41925000</v>
      </c>
      <c r="J46" s="4">
        <v>50615000</v>
      </c>
    </row>
    <row r="47" spans="1:10" ht="16" x14ac:dyDescent="0.2">
      <c r="A47" s="3" t="s">
        <v>46</v>
      </c>
      <c r="B47" s="6">
        <v>33.97</v>
      </c>
      <c r="C47" s="6">
        <v>32.67</v>
      </c>
      <c r="D47" s="6">
        <v>36.299999999999997</v>
      </c>
      <c r="E47" s="6">
        <v>33.799999999999997</v>
      </c>
      <c r="F47" s="7">
        <v>31.48</v>
      </c>
      <c r="G47" s="6">
        <v>35.33</v>
      </c>
      <c r="H47" s="6">
        <v>33.799999999999997</v>
      </c>
      <c r="I47" s="6">
        <v>32.590000000000003</v>
      </c>
      <c r="J47" s="6">
        <v>31.48</v>
      </c>
    </row>
    <row r="48" spans="1:10" ht="16" x14ac:dyDescent="0.2">
      <c r="A48" s="3" t="s">
        <v>47</v>
      </c>
      <c r="B48" s="4">
        <v>18371000</v>
      </c>
      <c r="C48" s="4">
        <v>33033000</v>
      </c>
      <c r="D48" s="4">
        <v>83871000</v>
      </c>
      <c r="E48" s="4">
        <v>133444000</v>
      </c>
      <c r="F48" s="5">
        <v>156505000</v>
      </c>
      <c r="G48" s="4">
        <v>37207000</v>
      </c>
      <c r="H48" s="4">
        <v>32142000</v>
      </c>
      <c r="I48" s="4">
        <v>39410000</v>
      </c>
      <c r="J48" s="4">
        <v>47746000</v>
      </c>
    </row>
    <row r="49" spans="1:10" ht="16" x14ac:dyDescent="0.2">
      <c r="A49" s="3" t="s">
        <v>48</v>
      </c>
      <c r="B49" s="4">
        <v>18371000</v>
      </c>
      <c r="C49" s="4">
        <v>33033000</v>
      </c>
      <c r="D49" s="4">
        <v>83871000</v>
      </c>
      <c r="E49" s="4">
        <v>133444000</v>
      </c>
      <c r="F49" s="5">
        <v>156505000</v>
      </c>
      <c r="G49" s="4">
        <v>37207000</v>
      </c>
      <c r="H49" s="4">
        <v>32142000</v>
      </c>
      <c r="I49" s="4">
        <v>39410000</v>
      </c>
      <c r="J49" s="4">
        <v>47746000</v>
      </c>
    </row>
    <row r="50" spans="1:10" ht="16" x14ac:dyDescent="0.2">
      <c r="A50" s="3" t="s">
        <v>52</v>
      </c>
      <c r="B50" s="4">
        <v>292534</v>
      </c>
      <c r="C50" s="4">
        <v>335945</v>
      </c>
      <c r="D50" s="4">
        <v>456299</v>
      </c>
      <c r="E50" s="4">
        <v>577032</v>
      </c>
      <c r="F50" s="5">
        <v>728260</v>
      </c>
      <c r="G50" s="4">
        <v>209092</v>
      </c>
      <c r="H50" s="4">
        <v>163124</v>
      </c>
      <c r="I50" s="4">
        <v>189101</v>
      </c>
      <c r="J50" s="4">
        <v>221953</v>
      </c>
    </row>
    <row r="51" spans="1:10" ht="16" x14ac:dyDescent="0.2">
      <c r="A51" s="3" t="s">
        <v>53</v>
      </c>
      <c r="B51" s="6">
        <v>0.03</v>
      </c>
      <c r="C51" s="6">
        <v>0.05</v>
      </c>
      <c r="D51" s="4" t="s">
        <v>15</v>
      </c>
      <c r="E51" s="4" t="s">
        <v>15</v>
      </c>
      <c r="F51" s="5" t="s">
        <v>15</v>
      </c>
      <c r="G51" s="4" t="s">
        <v>15</v>
      </c>
      <c r="H51" s="4" t="s">
        <v>15</v>
      </c>
      <c r="I51" s="4" t="s">
        <v>15</v>
      </c>
      <c r="J51" s="4" t="s">
        <v>15</v>
      </c>
    </row>
    <row r="52" spans="1:10" ht="16" x14ac:dyDescent="0.2">
      <c r="A52" s="3" t="s">
        <v>54</v>
      </c>
      <c r="B52" s="4">
        <v>409000</v>
      </c>
      <c r="C52" s="4">
        <v>992000</v>
      </c>
      <c r="D52" s="4">
        <v>4747000</v>
      </c>
      <c r="E52" s="4">
        <v>8147000</v>
      </c>
      <c r="F52" s="5">
        <v>9951000</v>
      </c>
      <c r="G52" s="4">
        <v>2110000</v>
      </c>
      <c r="H52" s="4">
        <v>2457000</v>
      </c>
      <c r="I52" s="4">
        <v>2515000</v>
      </c>
      <c r="J52" s="4">
        <v>2869000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77216000</v>
      </c>
      <c r="C55" s="4">
        <v>194854000</v>
      </c>
      <c r="D55" s="4">
        <v>529506000</v>
      </c>
      <c r="E55" s="4">
        <v>767828000</v>
      </c>
      <c r="F55" s="5">
        <v>946585000</v>
      </c>
      <c r="G55" s="4">
        <v>776852000</v>
      </c>
      <c r="H55" s="4">
        <v>767828000</v>
      </c>
      <c r="I55" s="4">
        <v>810570000</v>
      </c>
      <c r="J55" s="4">
        <v>946585000</v>
      </c>
    </row>
    <row r="56" spans="1:10" ht="16" x14ac:dyDescent="0.2">
      <c r="A56" s="3" t="s">
        <v>56</v>
      </c>
      <c r="B56" s="4">
        <v>22279000</v>
      </c>
      <c r="C56" s="4">
        <v>52003000</v>
      </c>
      <c r="D56" s="4">
        <v>337201000</v>
      </c>
      <c r="E56" s="4">
        <v>469387000</v>
      </c>
      <c r="F56" s="5">
        <v>600951000</v>
      </c>
      <c r="G56" s="4">
        <v>321052000</v>
      </c>
      <c r="H56" s="4">
        <v>469387000</v>
      </c>
      <c r="I56" s="4">
        <v>518231000</v>
      </c>
      <c r="J56" s="4">
        <v>600951000</v>
      </c>
    </row>
    <row r="57" spans="1:10" ht="16" x14ac:dyDescent="0.2">
      <c r="A57" s="3" t="s">
        <v>57</v>
      </c>
      <c r="B57" s="4">
        <v>6880000</v>
      </c>
      <c r="C57" s="4">
        <v>43684000</v>
      </c>
      <c r="D57" s="4">
        <v>336197000</v>
      </c>
      <c r="E57" s="4">
        <v>468092000</v>
      </c>
      <c r="F57" s="5">
        <v>549386000</v>
      </c>
      <c r="G57" s="4">
        <v>319987000</v>
      </c>
      <c r="H57" s="4">
        <v>468092000</v>
      </c>
      <c r="I57" s="4">
        <v>517892000</v>
      </c>
      <c r="J57" s="4">
        <v>549386000</v>
      </c>
    </row>
    <row r="58" spans="1:10" ht="16" x14ac:dyDescent="0.2">
      <c r="A58" s="3" t="s">
        <v>58</v>
      </c>
      <c r="B58" s="4">
        <v>15399000</v>
      </c>
      <c r="C58" s="4">
        <v>8319000</v>
      </c>
      <c r="D58" s="4">
        <v>1004000</v>
      </c>
      <c r="E58" s="4">
        <v>1295000</v>
      </c>
      <c r="F58" s="5">
        <v>51565000</v>
      </c>
      <c r="G58" s="4">
        <v>1065000</v>
      </c>
      <c r="H58" s="4">
        <v>1295000</v>
      </c>
      <c r="I58" s="4">
        <v>339000</v>
      </c>
      <c r="J58" s="4">
        <v>51565000</v>
      </c>
    </row>
    <row r="59" spans="1:10" ht="16" x14ac:dyDescent="0.2">
      <c r="A59" s="3" t="s">
        <v>59</v>
      </c>
      <c r="B59" s="4">
        <v>24443000</v>
      </c>
      <c r="C59" s="4">
        <v>67212000</v>
      </c>
      <c r="D59" s="4">
        <v>190966000</v>
      </c>
      <c r="E59" s="4">
        <v>240446000</v>
      </c>
      <c r="F59" s="5">
        <v>299802000</v>
      </c>
      <c r="G59" s="4">
        <v>206263000</v>
      </c>
      <c r="H59" s="4">
        <v>240446000</v>
      </c>
      <c r="I59" s="4">
        <v>249272000</v>
      </c>
      <c r="J59" s="4">
        <v>299802000</v>
      </c>
    </row>
    <row r="60" spans="1:10" ht="16" x14ac:dyDescent="0.2">
      <c r="A60" s="3" t="s">
        <v>60</v>
      </c>
      <c r="B60" s="4">
        <v>24443000</v>
      </c>
      <c r="C60" s="4">
        <v>67212000</v>
      </c>
      <c r="D60" s="4">
        <v>190966000</v>
      </c>
      <c r="E60" s="4">
        <v>240446000</v>
      </c>
      <c r="F60" s="5">
        <v>299802000</v>
      </c>
      <c r="G60" s="4">
        <v>206263000</v>
      </c>
      <c r="H60" s="4">
        <v>240446000</v>
      </c>
      <c r="I60" s="4">
        <v>249272000</v>
      </c>
      <c r="J60" s="4">
        <v>299802000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30494000</v>
      </c>
      <c r="C70" s="4">
        <v>75639000</v>
      </c>
      <c r="D70" s="4">
        <v>1339000</v>
      </c>
      <c r="E70" s="4">
        <v>57995000</v>
      </c>
      <c r="F70" s="5">
        <v>45832000</v>
      </c>
      <c r="G70" s="4">
        <v>249537000</v>
      </c>
      <c r="H70" s="4">
        <v>57995000</v>
      </c>
      <c r="I70" s="4">
        <v>43067000</v>
      </c>
      <c r="J70" s="4">
        <v>45832000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2380000</v>
      </c>
      <c r="C76" s="4">
        <v>5613000</v>
      </c>
      <c r="D76" s="4">
        <v>53502000</v>
      </c>
      <c r="E76" s="4">
        <v>58473000</v>
      </c>
      <c r="F76" s="5">
        <v>62203000</v>
      </c>
      <c r="G76" s="4">
        <v>57728000</v>
      </c>
      <c r="H76" s="4">
        <v>58473000</v>
      </c>
      <c r="I76" s="4">
        <v>59761000</v>
      </c>
      <c r="J76" s="4">
        <v>62203000</v>
      </c>
    </row>
    <row r="77" spans="1:10" ht="16" x14ac:dyDescent="0.2">
      <c r="A77" s="3" t="s">
        <v>77</v>
      </c>
      <c r="B77" s="4">
        <v>561000</v>
      </c>
      <c r="C77" s="4">
        <v>1101000</v>
      </c>
      <c r="D77" s="4">
        <v>5805000</v>
      </c>
      <c r="E77" s="4">
        <v>5335000</v>
      </c>
      <c r="F77" s="5">
        <v>6474000</v>
      </c>
      <c r="G77" s="4">
        <v>6752000</v>
      </c>
      <c r="H77" s="4">
        <v>5335000</v>
      </c>
      <c r="I77" s="4">
        <v>6140000</v>
      </c>
      <c r="J77" s="4">
        <v>6474000</v>
      </c>
    </row>
    <row r="78" spans="1:10" ht="16" x14ac:dyDescent="0.2">
      <c r="A78" s="3" t="s">
        <v>78</v>
      </c>
      <c r="B78" s="4">
        <v>624000</v>
      </c>
      <c r="C78" s="4">
        <v>1319000</v>
      </c>
      <c r="D78" s="4">
        <v>6400000</v>
      </c>
      <c r="E78" s="4">
        <v>6668000</v>
      </c>
      <c r="F78" s="5">
        <v>6474000</v>
      </c>
      <c r="G78" s="4">
        <v>6752000</v>
      </c>
      <c r="H78" s="4">
        <v>6668000</v>
      </c>
      <c r="I78" s="4">
        <v>6140000</v>
      </c>
      <c r="J78" s="4">
        <v>6474000</v>
      </c>
    </row>
    <row r="79" spans="1:10" ht="16" x14ac:dyDescent="0.2">
      <c r="A79" s="3" t="s">
        <v>79</v>
      </c>
      <c r="B79" s="4">
        <v>63000</v>
      </c>
      <c r="C79" s="4">
        <v>218000</v>
      </c>
      <c r="D79" s="4">
        <v>595000</v>
      </c>
      <c r="E79" s="4">
        <v>1333000</v>
      </c>
      <c r="F79" s="5" t="s">
        <v>15</v>
      </c>
      <c r="G79" s="4" t="s">
        <v>15</v>
      </c>
      <c r="H79" s="4">
        <v>1333000</v>
      </c>
      <c r="I79" s="4" t="s">
        <v>15</v>
      </c>
      <c r="J79" s="4" t="s">
        <v>15</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1819000</v>
      </c>
      <c r="C83" s="4">
        <v>4512000</v>
      </c>
      <c r="D83" s="4">
        <v>47697000</v>
      </c>
      <c r="E83" s="4">
        <v>53138000</v>
      </c>
      <c r="F83" s="5">
        <v>55729000</v>
      </c>
      <c r="G83" s="4">
        <v>50976000</v>
      </c>
      <c r="H83" s="4">
        <v>53138000</v>
      </c>
      <c r="I83" s="4">
        <v>53621000</v>
      </c>
      <c r="J83" s="4">
        <v>55729000</v>
      </c>
    </row>
    <row r="84" spans="1:10" ht="16" x14ac:dyDescent="0.2">
      <c r="A84" s="3" t="s">
        <v>84</v>
      </c>
      <c r="B84" s="4">
        <v>1803000</v>
      </c>
      <c r="C84" s="4">
        <v>4153000</v>
      </c>
      <c r="D84" s="4">
        <v>46969000</v>
      </c>
      <c r="E84" s="4">
        <v>51443000</v>
      </c>
      <c r="F84" s="5">
        <v>54920000</v>
      </c>
      <c r="G84" s="4">
        <v>49875000</v>
      </c>
      <c r="H84" s="4">
        <v>51443000</v>
      </c>
      <c r="I84" s="4">
        <v>53073000</v>
      </c>
      <c r="J84" s="4">
        <v>54920000</v>
      </c>
    </row>
    <row r="85" spans="1:10" ht="16" x14ac:dyDescent="0.2">
      <c r="A85" s="3" t="s">
        <v>85</v>
      </c>
      <c r="B85" s="4" t="s">
        <v>15</v>
      </c>
      <c r="C85" s="4" t="s">
        <v>15</v>
      </c>
      <c r="D85" s="4" t="s">
        <v>15</v>
      </c>
      <c r="E85" s="4" t="s">
        <v>15</v>
      </c>
      <c r="F85" s="5" t="s">
        <v>15</v>
      </c>
      <c r="G85" s="4" t="s">
        <v>15</v>
      </c>
      <c r="H85" s="4" t="s">
        <v>15</v>
      </c>
      <c r="I85" s="4" t="s">
        <v>15</v>
      </c>
      <c r="J85" s="4" t="s">
        <v>15</v>
      </c>
    </row>
    <row r="86" spans="1:10" ht="16" x14ac:dyDescent="0.2">
      <c r="A86" s="3" t="s">
        <v>86</v>
      </c>
      <c r="B86" s="4">
        <v>1803000</v>
      </c>
      <c r="C86" s="4">
        <v>4153000</v>
      </c>
      <c r="D86" s="4">
        <v>46969000</v>
      </c>
      <c r="E86" s="4">
        <v>51443000</v>
      </c>
      <c r="F86" s="5">
        <v>54920000</v>
      </c>
      <c r="G86" s="4">
        <v>49875000</v>
      </c>
      <c r="H86" s="4">
        <v>51443000</v>
      </c>
      <c r="I86" s="4">
        <v>53073000</v>
      </c>
      <c r="J86" s="4">
        <v>54920000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16000</v>
      </c>
      <c r="C89" s="4">
        <v>359000</v>
      </c>
      <c r="D89" s="4">
        <v>728000</v>
      </c>
      <c r="E89" s="4">
        <v>1695000</v>
      </c>
      <c r="F89" s="5">
        <v>809000</v>
      </c>
      <c r="G89" s="4">
        <v>1101000</v>
      </c>
      <c r="H89" s="4">
        <v>1695000</v>
      </c>
      <c r="I89" s="4">
        <v>548000</v>
      </c>
      <c r="J89" s="4">
        <v>809000</v>
      </c>
    </row>
    <row r="90" spans="1:10" ht="16" x14ac:dyDescent="0.2">
      <c r="A90" s="3" t="s">
        <v>90</v>
      </c>
      <c r="B90" s="4">
        <v>79596000</v>
      </c>
      <c r="C90" s="4">
        <v>200467000</v>
      </c>
      <c r="D90" s="4">
        <v>583008000</v>
      </c>
      <c r="E90" s="4">
        <v>826301000</v>
      </c>
      <c r="F90" s="5">
        <v>1008788000</v>
      </c>
      <c r="G90" s="4">
        <v>834580000</v>
      </c>
      <c r="H90" s="4">
        <v>826301000</v>
      </c>
      <c r="I90" s="4">
        <v>870331000</v>
      </c>
      <c r="J90" s="4">
        <v>1008788000</v>
      </c>
    </row>
    <row r="91" spans="1:10" ht="16" x14ac:dyDescent="0.2">
      <c r="A91" s="3" t="s">
        <v>91</v>
      </c>
      <c r="B91" s="4">
        <v>53870000</v>
      </c>
      <c r="C91" s="4">
        <v>150652000</v>
      </c>
      <c r="D91" s="4">
        <v>290286000</v>
      </c>
      <c r="E91" s="4">
        <v>419569000</v>
      </c>
      <c r="F91" s="5">
        <v>610869000</v>
      </c>
      <c r="G91" s="4">
        <v>435491000</v>
      </c>
      <c r="H91" s="4">
        <v>419569000</v>
      </c>
      <c r="I91" s="4">
        <v>459474000</v>
      </c>
      <c r="J91" s="4">
        <v>610869000</v>
      </c>
    </row>
    <row r="92" spans="1:10" ht="16" x14ac:dyDescent="0.2">
      <c r="A92" s="3" t="s">
        <v>92</v>
      </c>
      <c r="B92" s="4">
        <v>50832000</v>
      </c>
      <c r="C92" s="4">
        <v>136727000</v>
      </c>
      <c r="D92" s="4">
        <v>277160000</v>
      </c>
      <c r="E92" s="4">
        <v>407874000</v>
      </c>
      <c r="F92" s="5">
        <v>598013000</v>
      </c>
      <c r="G92" s="4">
        <v>405243000</v>
      </c>
      <c r="H92" s="4">
        <v>407874000</v>
      </c>
      <c r="I92" s="4">
        <v>449252000</v>
      </c>
      <c r="J92" s="4">
        <v>598013000</v>
      </c>
    </row>
    <row r="93" spans="1:10" ht="16" x14ac:dyDescent="0.2">
      <c r="A93" s="3" t="s">
        <v>93</v>
      </c>
      <c r="B93" s="4">
        <v>893000</v>
      </c>
      <c r="C93" s="4">
        <v>7787000</v>
      </c>
      <c r="D93" s="4">
        <v>13126000</v>
      </c>
      <c r="E93" s="4">
        <v>11695000</v>
      </c>
      <c r="F93" s="5">
        <v>12856000</v>
      </c>
      <c r="G93" s="4">
        <v>11885000</v>
      </c>
      <c r="H93" s="4">
        <v>11695000</v>
      </c>
      <c r="I93" s="4">
        <v>10222000</v>
      </c>
      <c r="J93" s="4">
        <v>12856000</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2145000</v>
      </c>
      <c r="C95" s="4">
        <v>6138000</v>
      </c>
      <c r="D95" s="4" t="s">
        <v>15</v>
      </c>
      <c r="E95" s="4" t="s">
        <v>15</v>
      </c>
      <c r="F95" s="5" t="s">
        <v>15</v>
      </c>
      <c r="G95" s="4">
        <v>18363000</v>
      </c>
      <c r="H95" s="4" t="s">
        <v>15</v>
      </c>
      <c r="I95" s="4" t="s">
        <v>15</v>
      </c>
      <c r="J95" s="4" t="s">
        <v>15</v>
      </c>
    </row>
    <row r="96" spans="1:10" ht="16" x14ac:dyDescent="0.2">
      <c r="A96" s="3" t="s">
        <v>96</v>
      </c>
      <c r="B96" s="4">
        <v>180000</v>
      </c>
      <c r="C96" s="4">
        <v>201000</v>
      </c>
      <c r="D96" s="4">
        <v>5516000</v>
      </c>
      <c r="E96" s="4">
        <v>686000</v>
      </c>
      <c r="F96" s="5">
        <v>675000</v>
      </c>
      <c r="G96" s="4">
        <v>15407000</v>
      </c>
      <c r="H96" s="4">
        <v>686000</v>
      </c>
      <c r="I96" s="4">
        <v>679000</v>
      </c>
      <c r="J96" s="4">
        <v>675000</v>
      </c>
    </row>
    <row r="97" spans="1:10" ht="16" x14ac:dyDescent="0.2">
      <c r="A97" s="3" t="s">
        <v>97</v>
      </c>
      <c r="B97" s="4" t="s">
        <v>15</v>
      </c>
      <c r="C97" s="4" t="s">
        <v>15</v>
      </c>
      <c r="D97" s="4">
        <v>5014000</v>
      </c>
      <c r="E97" s="4" t="s">
        <v>15</v>
      </c>
      <c r="F97" s="5" t="s">
        <v>15</v>
      </c>
      <c r="G97" s="4">
        <v>14782000</v>
      </c>
      <c r="H97" s="4" t="s">
        <v>15</v>
      </c>
      <c r="I97" s="4" t="s">
        <v>15</v>
      </c>
      <c r="J97" s="4" t="s">
        <v>15</v>
      </c>
    </row>
    <row r="98" spans="1:10" ht="16" x14ac:dyDescent="0.2">
      <c r="A98" s="3" t="s">
        <v>98</v>
      </c>
      <c r="B98" s="4">
        <v>180000</v>
      </c>
      <c r="C98" s="4">
        <v>201000</v>
      </c>
      <c r="D98" s="4">
        <v>502000</v>
      </c>
      <c r="E98" s="4">
        <v>686000</v>
      </c>
      <c r="F98" s="5">
        <v>675000</v>
      </c>
      <c r="G98" s="4">
        <v>625000</v>
      </c>
      <c r="H98" s="4">
        <v>686000</v>
      </c>
      <c r="I98" s="4">
        <v>679000</v>
      </c>
      <c r="J98" s="4">
        <v>675000</v>
      </c>
    </row>
    <row r="99" spans="1:10" ht="16" x14ac:dyDescent="0.2">
      <c r="A99" s="3" t="s">
        <v>99</v>
      </c>
      <c r="B99" s="4">
        <v>798000</v>
      </c>
      <c r="C99" s="4">
        <v>4290000</v>
      </c>
      <c r="D99" s="4">
        <v>2596000</v>
      </c>
      <c r="E99" s="4">
        <v>2017000</v>
      </c>
      <c r="F99" s="5">
        <v>1754000</v>
      </c>
      <c r="G99" s="4">
        <v>1986000</v>
      </c>
      <c r="H99" s="4">
        <v>2017000</v>
      </c>
      <c r="I99" s="4">
        <v>2971000</v>
      </c>
      <c r="J99" s="4">
        <v>1754000</v>
      </c>
    </row>
    <row r="100" spans="1:10" ht="16" x14ac:dyDescent="0.2">
      <c r="A100" s="3" t="s">
        <v>100</v>
      </c>
      <c r="B100" s="4" t="s">
        <v>15</v>
      </c>
      <c r="C100" s="4" t="s">
        <v>15</v>
      </c>
      <c r="D100" s="4" t="s">
        <v>15</v>
      </c>
      <c r="E100" s="4" t="s">
        <v>15</v>
      </c>
      <c r="F100" s="5" t="s">
        <v>15</v>
      </c>
      <c r="G100" s="4" t="s">
        <v>15</v>
      </c>
      <c r="H100" s="4" t="s">
        <v>15</v>
      </c>
      <c r="I100" s="4" t="s">
        <v>15</v>
      </c>
      <c r="J100" s="4" t="s">
        <v>15</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798000</v>
      </c>
      <c r="C103" s="4">
        <v>4290000</v>
      </c>
      <c r="D103" s="4">
        <v>2596000</v>
      </c>
      <c r="E103" s="4">
        <v>2017000</v>
      </c>
      <c r="F103" s="5">
        <v>1754000</v>
      </c>
      <c r="G103" s="4">
        <v>1986000</v>
      </c>
      <c r="H103" s="4">
        <v>2017000</v>
      </c>
      <c r="I103" s="4">
        <v>2971000</v>
      </c>
      <c r="J103" s="4">
        <v>1754000</v>
      </c>
    </row>
    <row r="104" spans="1:10" ht="16" x14ac:dyDescent="0.2">
      <c r="A104" s="3" t="s">
        <v>104</v>
      </c>
      <c r="B104" s="4">
        <v>54848000</v>
      </c>
      <c r="C104" s="4">
        <v>155143000</v>
      </c>
      <c r="D104" s="4">
        <v>298398000</v>
      </c>
      <c r="E104" s="4">
        <v>422272000</v>
      </c>
      <c r="F104" s="5">
        <v>613298000</v>
      </c>
      <c r="G104" s="4">
        <v>452884000</v>
      </c>
      <c r="H104" s="4">
        <v>422272000</v>
      </c>
      <c r="I104" s="4">
        <v>463124000</v>
      </c>
      <c r="J104" s="4">
        <v>613298000</v>
      </c>
    </row>
    <row r="105" spans="1:10" ht="16" x14ac:dyDescent="0.2">
      <c r="A105" s="3" t="s">
        <v>105</v>
      </c>
      <c r="B105" s="4">
        <v>219000</v>
      </c>
      <c r="C105" s="4">
        <v>17000</v>
      </c>
      <c r="D105" s="4">
        <v>3426000</v>
      </c>
      <c r="E105" s="4">
        <v>3393000</v>
      </c>
      <c r="F105" s="5">
        <v>3292000</v>
      </c>
      <c r="G105" s="4">
        <v>3449000</v>
      </c>
      <c r="H105" s="4">
        <v>3393000</v>
      </c>
      <c r="I105" s="4">
        <v>3317000</v>
      </c>
      <c r="J105" s="4">
        <v>3292000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v>219000</v>
      </c>
      <c r="C107" s="4">
        <v>17000</v>
      </c>
      <c r="D107" s="4">
        <v>3426000</v>
      </c>
      <c r="E107" s="4">
        <v>3393000</v>
      </c>
      <c r="F107" s="5">
        <v>3292000</v>
      </c>
      <c r="G107" s="4">
        <v>3449000</v>
      </c>
      <c r="H107" s="4">
        <v>3393000</v>
      </c>
      <c r="I107" s="4">
        <v>3317000</v>
      </c>
      <c r="J107" s="4">
        <v>3292000</v>
      </c>
    </row>
    <row r="108" spans="1:10" ht="16" x14ac:dyDescent="0.2">
      <c r="A108" s="3" t="s">
        <v>108</v>
      </c>
      <c r="B108" s="4" t="s">
        <v>15</v>
      </c>
      <c r="C108" s="4">
        <v>259000</v>
      </c>
      <c r="D108" s="4">
        <v>883000</v>
      </c>
      <c r="E108" s="4">
        <v>1016000</v>
      </c>
      <c r="F108" s="5">
        <v>3200000</v>
      </c>
      <c r="G108" s="4">
        <v>503000</v>
      </c>
      <c r="H108" s="4">
        <v>1016000</v>
      </c>
      <c r="I108" s="4">
        <v>1852000</v>
      </c>
      <c r="J108" s="4">
        <v>3200000</v>
      </c>
    </row>
    <row r="109" spans="1:10" ht="16" x14ac:dyDescent="0.2">
      <c r="A109" s="3" t="s">
        <v>109</v>
      </c>
      <c r="B109" s="4" t="s">
        <v>15</v>
      </c>
      <c r="C109" s="4">
        <v>259000</v>
      </c>
      <c r="D109" s="4">
        <v>883000</v>
      </c>
      <c r="E109" s="4">
        <v>1016000</v>
      </c>
      <c r="F109" s="5">
        <v>3200000</v>
      </c>
      <c r="G109" s="4">
        <v>503000</v>
      </c>
      <c r="H109" s="4">
        <v>1016000</v>
      </c>
      <c r="I109" s="4">
        <v>1852000</v>
      </c>
      <c r="J109" s="4">
        <v>3200000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t="s">
        <v>15</v>
      </c>
      <c r="C114" s="4" t="s">
        <v>15</v>
      </c>
      <c r="D114" s="4" t="s">
        <v>15</v>
      </c>
      <c r="E114" s="4" t="s">
        <v>15</v>
      </c>
      <c r="F114" s="5" t="s">
        <v>15</v>
      </c>
      <c r="G114" s="4" t="s">
        <v>15</v>
      </c>
      <c r="H114" s="4" t="s">
        <v>15</v>
      </c>
      <c r="I114" s="4" t="s">
        <v>15</v>
      </c>
      <c r="J114" s="4" t="s">
        <v>15</v>
      </c>
    </row>
    <row r="115" spans="1:10" ht="16" x14ac:dyDescent="0.2">
      <c r="A115" s="3" t="s">
        <v>112</v>
      </c>
      <c r="B115" s="4">
        <v>219000</v>
      </c>
      <c r="C115" s="4">
        <v>276000</v>
      </c>
      <c r="D115" s="4">
        <v>4309000</v>
      </c>
      <c r="E115" s="4">
        <v>4409000</v>
      </c>
      <c r="F115" s="5">
        <v>6492000</v>
      </c>
      <c r="G115" s="4">
        <v>3952000</v>
      </c>
      <c r="H115" s="4">
        <v>4409000</v>
      </c>
      <c r="I115" s="4">
        <v>5169000</v>
      </c>
      <c r="J115" s="4">
        <v>6492000</v>
      </c>
    </row>
    <row r="116" spans="1:10" ht="16" x14ac:dyDescent="0.2">
      <c r="A116" s="3" t="s">
        <v>113</v>
      </c>
      <c r="B116" s="4">
        <v>55067000</v>
      </c>
      <c r="C116" s="4">
        <v>155419000</v>
      </c>
      <c r="D116" s="4">
        <v>302707000</v>
      </c>
      <c r="E116" s="4">
        <v>426681000</v>
      </c>
      <c r="F116" s="5">
        <v>619790000</v>
      </c>
      <c r="G116" s="4">
        <v>456836000</v>
      </c>
      <c r="H116" s="4">
        <v>426681000</v>
      </c>
      <c r="I116" s="4">
        <v>468293000</v>
      </c>
      <c r="J116" s="4">
        <v>619790000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602000</v>
      </c>
      <c r="C118" s="4">
        <v>602000</v>
      </c>
      <c r="D118" s="4">
        <v>157741000</v>
      </c>
      <c r="E118" s="4">
        <v>164899000</v>
      </c>
      <c r="F118" s="5">
        <v>69128000</v>
      </c>
      <c r="G118" s="4">
        <v>165910000</v>
      </c>
      <c r="H118" s="4">
        <v>164899000</v>
      </c>
      <c r="I118" s="4">
        <v>129281000</v>
      </c>
      <c r="J118" s="4">
        <v>69128000</v>
      </c>
    </row>
    <row r="119" spans="1:10" ht="16" x14ac:dyDescent="0.2">
      <c r="A119" s="3" t="s">
        <v>116</v>
      </c>
      <c r="B119" s="4">
        <v>602000</v>
      </c>
      <c r="C119" s="4">
        <v>602000</v>
      </c>
      <c r="D119" s="4">
        <v>590000</v>
      </c>
      <c r="E119" s="4">
        <v>592000</v>
      </c>
      <c r="F119" s="5">
        <v>578000</v>
      </c>
      <c r="G119" s="4">
        <v>592000</v>
      </c>
      <c r="H119" s="4">
        <v>592000</v>
      </c>
      <c r="I119" s="4">
        <v>587000</v>
      </c>
      <c r="J119" s="4">
        <v>578000</v>
      </c>
    </row>
    <row r="120" spans="1:10" ht="16" x14ac:dyDescent="0.2">
      <c r="A120" s="3" t="s">
        <v>117</v>
      </c>
      <c r="B120" s="4" t="s">
        <v>15</v>
      </c>
      <c r="C120" s="4" t="s">
        <v>15</v>
      </c>
      <c r="D120" s="4">
        <v>157151000</v>
      </c>
      <c r="E120" s="4">
        <v>164307000</v>
      </c>
      <c r="F120" s="5">
        <v>68550000</v>
      </c>
      <c r="G120" s="4">
        <v>165318000</v>
      </c>
      <c r="H120" s="4">
        <v>164307000</v>
      </c>
      <c r="I120" s="4">
        <v>128694000</v>
      </c>
      <c r="J120" s="4">
        <v>68550000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18460000</v>
      </c>
      <c r="C122" s="4">
        <v>31749000</v>
      </c>
      <c r="D122" s="4">
        <v>109867000</v>
      </c>
      <c r="E122" s="4">
        <v>219993000</v>
      </c>
      <c r="F122" s="5">
        <v>301856000</v>
      </c>
      <c r="G122" s="4">
        <v>200460000</v>
      </c>
      <c r="H122" s="4">
        <v>219993000</v>
      </c>
      <c r="I122" s="4">
        <v>256069000</v>
      </c>
      <c r="J122" s="4">
        <v>301856000</v>
      </c>
    </row>
    <row r="123" spans="1:10" ht="16" x14ac:dyDescent="0.2">
      <c r="A123" s="3" t="s">
        <v>120</v>
      </c>
      <c r="B123" s="4">
        <v>5301000</v>
      </c>
      <c r="C123" s="4">
        <v>12701000</v>
      </c>
      <c r="D123" s="4">
        <v>12711000</v>
      </c>
      <c r="E123" s="4">
        <v>14737000</v>
      </c>
      <c r="F123" s="5">
        <v>17924000</v>
      </c>
      <c r="G123" s="4">
        <v>11385000</v>
      </c>
      <c r="H123" s="4">
        <v>14737000</v>
      </c>
      <c r="I123" s="4">
        <v>16693000</v>
      </c>
      <c r="J123" s="4">
        <v>17924000</v>
      </c>
    </row>
    <row r="124" spans="1:10" ht="16" x14ac:dyDescent="0.2">
      <c r="A124" s="3" t="s">
        <v>121</v>
      </c>
      <c r="B124" s="4">
        <v>24363000</v>
      </c>
      <c r="C124" s="4">
        <v>45052000</v>
      </c>
      <c r="D124" s="4">
        <v>280319000</v>
      </c>
      <c r="E124" s="4">
        <v>399629000</v>
      </c>
      <c r="F124" s="5">
        <v>388908000</v>
      </c>
      <c r="G124" s="4">
        <v>377755000</v>
      </c>
      <c r="H124" s="4">
        <v>399629000</v>
      </c>
      <c r="I124" s="4">
        <v>402043000</v>
      </c>
      <c r="J124" s="4">
        <v>388908000</v>
      </c>
    </row>
    <row r="125" spans="1:10" ht="16" x14ac:dyDescent="0.2">
      <c r="A125" s="3" t="s">
        <v>122</v>
      </c>
      <c r="B125" s="4">
        <v>166000</v>
      </c>
      <c r="C125" s="4">
        <v>-4000</v>
      </c>
      <c r="D125" s="4">
        <v>-18000</v>
      </c>
      <c r="E125" s="4">
        <v>-9000</v>
      </c>
      <c r="F125" s="5">
        <v>90000</v>
      </c>
      <c r="G125" s="4">
        <v>-11000</v>
      </c>
      <c r="H125" s="4">
        <v>-9000</v>
      </c>
      <c r="I125" s="4">
        <v>-5000</v>
      </c>
      <c r="J125" s="4">
        <v>90000</v>
      </c>
    </row>
    <row r="126" spans="1:10" ht="16" x14ac:dyDescent="0.2">
      <c r="A126" s="3" t="s">
        <v>123</v>
      </c>
      <c r="B126" s="4">
        <v>24529000</v>
      </c>
      <c r="C126" s="4">
        <v>45048000</v>
      </c>
      <c r="D126" s="4">
        <v>280301000</v>
      </c>
      <c r="E126" s="4">
        <v>399620000</v>
      </c>
      <c r="F126" s="5">
        <v>388998000</v>
      </c>
      <c r="G126" s="4">
        <v>377744000</v>
      </c>
      <c r="H126" s="4">
        <v>399620000</v>
      </c>
      <c r="I126" s="4">
        <v>402038000</v>
      </c>
      <c r="J126" s="4">
        <v>388998000</v>
      </c>
    </row>
    <row r="127" spans="1:10" ht="16" x14ac:dyDescent="0.2">
      <c r="A127" s="3" t="s">
        <v>124</v>
      </c>
      <c r="B127" s="4">
        <v>79596000</v>
      </c>
      <c r="C127" s="4">
        <v>200467000</v>
      </c>
      <c r="D127" s="4">
        <v>583008000</v>
      </c>
      <c r="E127" s="4">
        <v>826301000</v>
      </c>
      <c r="F127" s="5">
        <v>1008788000</v>
      </c>
      <c r="G127" s="4">
        <v>834580000</v>
      </c>
      <c r="H127" s="4">
        <v>826301000</v>
      </c>
      <c r="I127" s="4">
        <v>870331000</v>
      </c>
      <c r="J127" s="4">
        <v>1008788000</v>
      </c>
    </row>
    <row r="128" spans="1:10" ht="16" x14ac:dyDescent="0.2">
      <c r="A128" s="30" t="s">
        <v>125</v>
      </c>
      <c r="B128" s="28">
        <v>292916000</v>
      </c>
      <c r="C128" s="28">
        <v>292916000</v>
      </c>
      <c r="D128" s="28">
        <v>295028000</v>
      </c>
      <c r="E128" s="28">
        <v>296030000</v>
      </c>
      <c r="F128" s="29">
        <v>289247000</v>
      </c>
      <c r="G128" s="28">
        <v>295985000</v>
      </c>
      <c r="H128" s="28">
        <v>296030000</v>
      </c>
      <c r="I128" s="28">
        <v>293796000</v>
      </c>
      <c r="J128" s="28">
        <v>289247000</v>
      </c>
    </row>
    <row r="129" spans="1:10" ht="16" x14ac:dyDescent="0.2">
      <c r="A129" s="16" t="s">
        <v>188</v>
      </c>
      <c r="B129" s="17"/>
      <c r="C129" s="22">
        <f>(C128/B128)-1</f>
        <v>0</v>
      </c>
      <c r="D129" s="22">
        <f>(D128/C128)-1</f>
        <v>7.2102582310287211E-3</v>
      </c>
      <c r="E129" s="22">
        <f>(E128/D128)-1</f>
        <v>3.3962878099704774E-3</v>
      </c>
      <c r="F129" s="22">
        <f t="shared" ref="F129:J129" si="6">(F128/E128)-1</f>
        <v>-2.2913218254906553E-2</v>
      </c>
      <c r="G129" s="22">
        <f t="shared" si="6"/>
        <v>2.329496935145392E-2</v>
      </c>
      <c r="H129" s="22">
        <f t="shared" si="6"/>
        <v>1.5203473148983626E-4</v>
      </c>
      <c r="I129" s="22">
        <f t="shared" si="6"/>
        <v>-7.5465324460358696E-3</v>
      </c>
      <c r="J129" s="22">
        <f t="shared" si="6"/>
        <v>-1.5483532791460752E-2</v>
      </c>
    </row>
    <row r="130" spans="1:10" ht="16" x14ac:dyDescent="0.2">
      <c r="A130" s="3" t="s">
        <v>126</v>
      </c>
      <c r="B130" s="4">
        <v>399000</v>
      </c>
      <c r="C130" s="4">
        <v>218000</v>
      </c>
      <c r="D130" s="4">
        <v>3928000</v>
      </c>
      <c r="E130" s="4">
        <v>4079000</v>
      </c>
      <c r="F130" s="5">
        <v>3967000</v>
      </c>
      <c r="G130" s="4">
        <v>4074000</v>
      </c>
      <c r="H130" s="4">
        <v>4079000</v>
      </c>
      <c r="I130" s="4">
        <v>3996000</v>
      </c>
      <c r="J130" s="4">
        <v>3967000</v>
      </c>
    </row>
    <row r="131" spans="1:10" ht="16" x14ac:dyDescent="0.2">
      <c r="A131" s="3" t="s">
        <v>127</v>
      </c>
      <c r="B131" s="4">
        <v>-6880000</v>
      </c>
      <c r="C131" s="4">
        <v>-43684000</v>
      </c>
      <c r="D131" s="4">
        <v>-331183000</v>
      </c>
      <c r="E131" s="4">
        <v>-468092000</v>
      </c>
      <c r="F131" s="5">
        <v>-549386000</v>
      </c>
      <c r="G131" s="4">
        <v>-305205000</v>
      </c>
      <c r="H131" s="4">
        <v>-468092000</v>
      </c>
      <c r="I131" s="4">
        <v>-517892000</v>
      </c>
      <c r="J131" s="4">
        <v>-549386000</v>
      </c>
    </row>
    <row r="132" spans="1:10" ht="16" x14ac:dyDescent="0.2">
      <c r="A132" s="3" t="s">
        <v>128</v>
      </c>
      <c r="B132" s="6">
        <v>-28.05</v>
      </c>
      <c r="C132" s="6">
        <v>-96.97</v>
      </c>
      <c r="D132" s="6">
        <v>-118.15</v>
      </c>
      <c r="E132" s="6">
        <v>-117.13</v>
      </c>
      <c r="F132" s="7">
        <v>-141.22999999999999</v>
      </c>
      <c r="G132" s="6">
        <v>-80.8</v>
      </c>
      <c r="H132" s="6">
        <v>-117.13</v>
      </c>
      <c r="I132" s="6">
        <v>-128.82</v>
      </c>
      <c r="J132" s="6">
        <v>-141.22999999999999</v>
      </c>
    </row>
    <row r="133" spans="1:10" ht="16" x14ac:dyDescent="0.2">
      <c r="A133" s="3" t="s">
        <v>129</v>
      </c>
      <c r="B133" s="6">
        <v>29.21</v>
      </c>
      <c r="C133" s="6">
        <v>20.83</v>
      </c>
      <c r="D133" s="6">
        <v>43.53</v>
      </c>
      <c r="E133" s="6">
        <v>44.93</v>
      </c>
      <c r="F133" s="7">
        <v>35.020000000000003</v>
      </c>
      <c r="G133" s="6">
        <v>41.78</v>
      </c>
      <c r="H133" s="6">
        <v>44.93</v>
      </c>
      <c r="I133" s="6">
        <v>42.7</v>
      </c>
      <c r="J133" s="6">
        <v>35.020000000000003</v>
      </c>
    </row>
    <row r="134" spans="1:10" ht="16" x14ac:dyDescent="0.2">
      <c r="A134" s="3" t="s">
        <v>130</v>
      </c>
      <c r="B134" s="6">
        <v>1.41</v>
      </c>
      <c r="C134" s="6">
        <v>1.26</v>
      </c>
      <c r="D134" s="6">
        <v>1.77</v>
      </c>
      <c r="E134" s="6">
        <v>1.82</v>
      </c>
      <c r="F134" s="7">
        <v>1.54</v>
      </c>
      <c r="G134" s="6">
        <v>1.72</v>
      </c>
      <c r="H134" s="6">
        <v>1.82</v>
      </c>
      <c r="I134" s="6">
        <v>1.75</v>
      </c>
      <c r="J134" s="6">
        <v>1.54</v>
      </c>
    </row>
    <row r="135" spans="1:10" ht="16" x14ac:dyDescent="0.2">
      <c r="A135" s="3" t="s">
        <v>131</v>
      </c>
      <c r="B135" s="4" t="s">
        <v>15</v>
      </c>
      <c r="C135" s="6">
        <v>-616.17999999999995</v>
      </c>
      <c r="D135" s="6">
        <v>-471.46</v>
      </c>
      <c r="E135" s="6">
        <v>-388.83</v>
      </c>
      <c r="F135" s="7">
        <v>-418.3</v>
      </c>
      <c r="G135" s="6">
        <v>-436.82</v>
      </c>
      <c r="H135" s="6">
        <v>-387.41</v>
      </c>
      <c r="I135" s="6">
        <v>-402.44</v>
      </c>
      <c r="J135" s="6">
        <v>-418.3</v>
      </c>
    </row>
    <row r="136" spans="1:10" ht="16" x14ac:dyDescent="0.2">
      <c r="A136" s="3" t="s">
        <v>132</v>
      </c>
      <c r="B136" s="4">
        <v>189</v>
      </c>
      <c r="C136" s="4">
        <v>310</v>
      </c>
      <c r="D136" s="4">
        <v>535</v>
      </c>
      <c r="E136" s="4">
        <v>726</v>
      </c>
      <c r="F136" s="5">
        <v>726</v>
      </c>
      <c r="G136" s="4">
        <v>535</v>
      </c>
      <c r="H136" s="4">
        <v>726</v>
      </c>
      <c r="I136" s="4">
        <v>726</v>
      </c>
      <c r="J136" s="4">
        <v>726</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17823000</v>
      </c>
      <c r="C139" s="4">
        <v>31418000</v>
      </c>
      <c r="D139" s="4">
        <v>85500000</v>
      </c>
      <c r="E139" s="4">
        <v>120283000</v>
      </c>
      <c r="F139" s="5">
        <v>151220000</v>
      </c>
      <c r="G139" s="4">
        <v>34625000</v>
      </c>
      <c r="H139" s="4">
        <v>23299000</v>
      </c>
      <c r="I139" s="4">
        <v>39731000</v>
      </c>
      <c r="J139" s="4">
        <v>53565000</v>
      </c>
    </row>
    <row r="140" spans="1:10" ht="16" x14ac:dyDescent="0.2">
      <c r="A140" s="3" t="s">
        <v>134</v>
      </c>
      <c r="B140" s="4">
        <v>409000</v>
      </c>
      <c r="C140" s="4">
        <v>992000</v>
      </c>
      <c r="D140" s="4">
        <v>4747000</v>
      </c>
      <c r="E140" s="4">
        <v>8147000</v>
      </c>
      <c r="F140" s="5">
        <v>9951000</v>
      </c>
      <c r="G140" s="4">
        <v>2110000</v>
      </c>
      <c r="H140" s="4">
        <v>2457000</v>
      </c>
      <c r="I140" s="4">
        <v>2515000</v>
      </c>
      <c r="J140" s="4">
        <v>2869000</v>
      </c>
    </row>
    <row r="141" spans="1:10" ht="16" x14ac:dyDescent="0.2">
      <c r="A141" s="3" t="s">
        <v>135</v>
      </c>
      <c r="B141" s="4">
        <v>3791000</v>
      </c>
      <c r="C141" s="4">
        <v>6762000</v>
      </c>
      <c r="D141" s="4">
        <v>-6908000</v>
      </c>
      <c r="E141" s="4">
        <v>5242000</v>
      </c>
      <c r="F141" s="5">
        <v>-3877000</v>
      </c>
      <c r="G141" s="4">
        <v>-4110000</v>
      </c>
      <c r="H141" s="4">
        <v>13888000</v>
      </c>
      <c r="I141" s="4">
        <v>-2404000</v>
      </c>
      <c r="J141" s="4">
        <v>-11251000</v>
      </c>
    </row>
    <row r="142" spans="1:10" ht="16" x14ac:dyDescent="0.2">
      <c r="A142" s="30" t="s">
        <v>136</v>
      </c>
      <c r="B142" s="28">
        <v>5049000</v>
      </c>
      <c r="C142" s="28">
        <v>7295000</v>
      </c>
      <c r="D142" s="28">
        <v>7590000</v>
      </c>
      <c r="E142" s="28">
        <v>8684000</v>
      </c>
      <c r="F142" s="29">
        <v>9159000</v>
      </c>
      <c r="G142" s="28">
        <v>1599000</v>
      </c>
      <c r="H142" s="28">
        <v>3810000</v>
      </c>
      <c r="I142" s="28">
        <v>2329000</v>
      </c>
      <c r="J142" s="28">
        <v>1421000</v>
      </c>
    </row>
    <row r="143" spans="1:10" ht="16" x14ac:dyDescent="0.2">
      <c r="A143" s="12" t="s">
        <v>189</v>
      </c>
      <c r="B143" s="22">
        <f t="shared" ref="B143:J143" si="7">B142/B2</f>
        <v>9.1320154099368778E-2</v>
      </c>
      <c r="C143" s="22">
        <f t="shared" si="7"/>
        <v>7.0047914886262164E-2</v>
      </c>
      <c r="D143" s="22">
        <f t="shared" si="7"/>
        <v>3.109126659020154E-2</v>
      </c>
      <c r="E143" s="22">
        <f t="shared" si="7"/>
        <v>2.0729247478665631E-2</v>
      </c>
      <c r="F143" s="22">
        <f t="shared" si="7"/>
        <v>1.7323066971555671E-2</v>
      </c>
      <c r="G143" s="22">
        <f t="shared" si="7"/>
        <v>1.429414288779232E-2</v>
      </c>
      <c r="H143" s="22">
        <f t="shared" si="7"/>
        <v>3.217144594183808E-2</v>
      </c>
      <c r="I143" s="22">
        <f t="shared" si="7"/>
        <v>1.6964461310976276E-2</v>
      </c>
      <c r="J143" s="22">
        <f t="shared" si="7"/>
        <v>8.8185282180491265E-3</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v>807000</v>
      </c>
      <c r="C145" s="4">
        <v>-808000</v>
      </c>
      <c r="D145" s="4">
        <v>33000</v>
      </c>
      <c r="E145" s="4">
        <v>-42000</v>
      </c>
      <c r="F145" s="5">
        <v>70000</v>
      </c>
      <c r="G145" s="4">
        <v>-24000</v>
      </c>
      <c r="H145" s="4">
        <v>64000</v>
      </c>
      <c r="I145" s="4">
        <v>51000</v>
      </c>
      <c r="J145" s="4">
        <v>-21000</v>
      </c>
    </row>
    <row r="146" spans="1:10" ht="16" x14ac:dyDescent="0.2">
      <c r="A146" s="3" t="s">
        <v>139</v>
      </c>
      <c r="B146" s="4">
        <v>-2065000</v>
      </c>
      <c r="C146" s="4">
        <v>275000</v>
      </c>
      <c r="D146" s="4">
        <v>-14531000</v>
      </c>
      <c r="E146" s="4">
        <v>-3400000</v>
      </c>
      <c r="F146" s="5">
        <v>-13106000</v>
      </c>
      <c r="G146" s="4">
        <v>-5685000</v>
      </c>
      <c r="H146" s="4">
        <v>10014000</v>
      </c>
      <c r="I146" s="4">
        <v>-4784000</v>
      </c>
      <c r="J146" s="4">
        <v>-12651000</v>
      </c>
    </row>
    <row r="147" spans="1:10" ht="16" x14ac:dyDescent="0.2">
      <c r="A147" s="3" t="s">
        <v>140</v>
      </c>
      <c r="B147" s="4">
        <v>8700000</v>
      </c>
      <c r="C147" s="4">
        <v>49314000</v>
      </c>
      <c r="D147" s="4">
        <v>25147000</v>
      </c>
      <c r="E147" s="4">
        <v>20779000</v>
      </c>
      <c r="F147" s="5">
        <v>111668000</v>
      </c>
      <c r="G147" s="4">
        <v>53668000</v>
      </c>
      <c r="H147" s="4">
        <v>-81012000</v>
      </c>
      <c r="I147" s="4">
        <v>44691000</v>
      </c>
      <c r="J147" s="4">
        <v>94321000</v>
      </c>
    </row>
    <row r="148" spans="1:10" ht="16" x14ac:dyDescent="0.2">
      <c r="A148" s="3" t="s">
        <v>141</v>
      </c>
      <c r="B148" s="4">
        <v>-10968000</v>
      </c>
      <c r="C148" s="4">
        <v>-45932000</v>
      </c>
      <c r="D148" s="4">
        <v>-115355000</v>
      </c>
      <c r="E148" s="4">
        <v>-49438000</v>
      </c>
      <c r="F148" s="5">
        <v>-104082000</v>
      </c>
      <c r="G148" s="4">
        <v>-33131000</v>
      </c>
      <c r="H148" s="4">
        <v>-11565000</v>
      </c>
      <c r="I148" s="4">
        <v>-9074000</v>
      </c>
      <c r="J148" s="4">
        <v>-50312000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t="s">
        <v>15</v>
      </c>
      <c r="C150" s="4" t="s">
        <v>15</v>
      </c>
      <c r="D150" s="4" t="s">
        <v>15</v>
      </c>
      <c r="E150" s="4" t="s">
        <v>15</v>
      </c>
      <c r="F150" s="5" t="s">
        <v>15</v>
      </c>
      <c r="G150" s="4" t="s">
        <v>15</v>
      </c>
      <c r="H150" s="4" t="s">
        <v>15</v>
      </c>
      <c r="I150" s="4" t="s">
        <v>15</v>
      </c>
      <c r="J150" s="4" t="s">
        <v>15</v>
      </c>
    </row>
    <row r="151" spans="1:10" ht="16" x14ac:dyDescent="0.2">
      <c r="A151" s="3" t="s">
        <v>144</v>
      </c>
      <c r="B151" s="4">
        <v>20284000</v>
      </c>
      <c r="C151" s="4">
        <v>95765000</v>
      </c>
      <c r="D151" s="4">
        <v>139604000</v>
      </c>
      <c r="E151" s="4">
        <v>126469000</v>
      </c>
      <c r="F151" s="5">
        <v>259572000</v>
      </c>
      <c r="G151" s="4">
        <v>89467000</v>
      </c>
      <c r="H151" s="4">
        <v>-16693000</v>
      </c>
      <c r="I151" s="4">
        <v>40316000</v>
      </c>
      <c r="J151" s="4">
        <v>146482000</v>
      </c>
    </row>
    <row r="152" spans="1:10" ht="16" x14ac:dyDescent="0.2">
      <c r="A152" s="3" t="s">
        <v>145</v>
      </c>
      <c r="B152" s="4">
        <v>-616000</v>
      </c>
      <c r="C152" s="4">
        <v>-519000</v>
      </c>
      <c r="D152" s="4">
        <v>898000</v>
      </c>
      <c r="E152" s="4">
        <v>-56252000</v>
      </c>
      <c r="F152" s="5">
        <v>-43822000</v>
      </c>
      <c r="G152" s="4">
        <v>-2668000</v>
      </c>
      <c r="H152" s="4">
        <v>-52754000</v>
      </c>
      <c r="I152" s="4">
        <v>13449000</v>
      </c>
      <c r="J152" s="4">
        <v>-1849000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30723000</v>
      </c>
      <c r="C154" s="4">
        <v>88486000</v>
      </c>
      <c r="D154" s="4">
        <v>108486000</v>
      </c>
      <c r="E154" s="4">
        <v>154451000</v>
      </c>
      <c r="F154" s="5">
        <v>268962000</v>
      </c>
      <c r="G154" s="4">
        <v>86293000</v>
      </c>
      <c r="H154" s="4">
        <v>-41368000</v>
      </c>
      <c r="I154" s="4">
        <v>84533000</v>
      </c>
      <c r="J154" s="4">
        <v>139504000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-1706000</v>
      </c>
      <c r="C159" s="4">
        <v>-3882000</v>
      </c>
      <c r="D159" s="4">
        <v>-48017000</v>
      </c>
      <c r="E159" s="4">
        <v>-12352000</v>
      </c>
      <c r="F159" s="5">
        <v>-15854000</v>
      </c>
      <c r="G159" s="4">
        <v>-3274000</v>
      </c>
      <c r="H159" s="4">
        <v>-3778000</v>
      </c>
      <c r="I159" s="4">
        <v>-3855000</v>
      </c>
      <c r="J159" s="4">
        <v>-4947000</v>
      </c>
    </row>
    <row r="160" spans="1:10" ht="16" x14ac:dyDescent="0.2">
      <c r="A160" s="3" t="s">
        <v>153</v>
      </c>
      <c r="B160" s="4">
        <v>-152000</v>
      </c>
      <c r="C160" s="4">
        <v>-876000</v>
      </c>
      <c r="D160" s="4">
        <v>-1949000</v>
      </c>
      <c r="E160" s="4">
        <v>-987000</v>
      </c>
      <c r="F160" s="5">
        <v>-1070000</v>
      </c>
      <c r="G160" s="4">
        <v>-285000</v>
      </c>
      <c r="H160" s="4">
        <v>-128000</v>
      </c>
      <c r="I160" s="4">
        <v>-49000</v>
      </c>
      <c r="J160" s="4">
        <v>-608000</v>
      </c>
    </row>
    <row r="161" spans="1:10" ht="16" x14ac:dyDescent="0.2">
      <c r="A161" s="3" t="s">
        <v>154</v>
      </c>
      <c r="B161" s="4">
        <v>-1554000</v>
      </c>
      <c r="C161" s="4">
        <v>-3006000</v>
      </c>
      <c r="D161" s="4">
        <v>-46068000</v>
      </c>
      <c r="E161" s="4">
        <v>-11365000</v>
      </c>
      <c r="F161" s="5">
        <v>-14784000</v>
      </c>
      <c r="G161" s="4">
        <v>-2989000</v>
      </c>
      <c r="H161" s="4">
        <v>-3650000</v>
      </c>
      <c r="I161" s="4">
        <v>-3806000</v>
      </c>
      <c r="J161" s="4">
        <v>-4339000</v>
      </c>
    </row>
    <row r="162" spans="1:10" ht="16" x14ac:dyDescent="0.2">
      <c r="A162" s="3" t="s">
        <v>155</v>
      </c>
      <c r="B162" s="4">
        <v>1601000</v>
      </c>
      <c r="C162" s="4">
        <v>7089000</v>
      </c>
      <c r="D162" s="4">
        <v>7520000</v>
      </c>
      <c r="E162" s="4" t="s">
        <v>15</v>
      </c>
      <c r="F162" s="5">
        <v>-47897000</v>
      </c>
      <c r="G162" s="4">
        <v>-236000</v>
      </c>
      <c r="H162" s="4" t="s">
        <v>15</v>
      </c>
      <c r="I162" s="4" t="s">
        <v>15</v>
      </c>
      <c r="J162" s="4">
        <v>-47661000</v>
      </c>
    </row>
    <row r="163" spans="1:10" ht="16" x14ac:dyDescent="0.2">
      <c r="A163" s="3" t="s">
        <v>156</v>
      </c>
      <c r="B163" s="4">
        <v>1601000</v>
      </c>
      <c r="C163" s="4">
        <v>7089000</v>
      </c>
      <c r="D163" s="4">
        <v>7520000</v>
      </c>
      <c r="E163" s="4" t="s">
        <v>15</v>
      </c>
      <c r="F163" s="5">
        <v>478000</v>
      </c>
      <c r="G163" s="4" t="s">
        <v>15</v>
      </c>
      <c r="H163" s="4" t="s">
        <v>15</v>
      </c>
      <c r="I163" s="4" t="s">
        <v>15</v>
      </c>
      <c r="J163" s="4">
        <v>478000</v>
      </c>
    </row>
    <row r="164" spans="1:10" ht="16" x14ac:dyDescent="0.2">
      <c r="A164" s="3" t="s">
        <v>157</v>
      </c>
      <c r="B164" s="4" t="s">
        <v>15</v>
      </c>
      <c r="C164" s="4" t="s">
        <v>15</v>
      </c>
      <c r="D164" s="4" t="s">
        <v>15</v>
      </c>
      <c r="E164" s="4" t="s">
        <v>15</v>
      </c>
      <c r="F164" s="5">
        <v>-48375000</v>
      </c>
      <c r="G164" s="4">
        <v>-236000</v>
      </c>
      <c r="H164" s="4" t="s">
        <v>15</v>
      </c>
      <c r="I164" s="4" t="s">
        <v>15</v>
      </c>
      <c r="J164" s="4">
        <v>-48139000</v>
      </c>
    </row>
    <row r="165" spans="1:10" ht="16" x14ac:dyDescent="0.2">
      <c r="A165" s="3" t="s">
        <v>158</v>
      </c>
      <c r="B165" s="4" t="s">
        <v>15</v>
      </c>
      <c r="C165" s="4" t="s">
        <v>15</v>
      </c>
      <c r="D165" s="4" t="s">
        <v>15</v>
      </c>
      <c r="E165" s="4" t="s">
        <v>15</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t="s">
        <v>15</v>
      </c>
      <c r="E167" s="4" t="s">
        <v>15</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223000</v>
      </c>
      <c r="C169" s="4">
        <v>443000</v>
      </c>
      <c r="D169" s="4">
        <v>2556000</v>
      </c>
      <c r="E169" s="4">
        <v>16657000</v>
      </c>
      <c r="F169" s="5">
        <v>34659000</v>
      </c>
      <c r="G169" s="4">
        <v>6170000</v>
      </c>
      <c r="H169" s="4">
        <v>5469000</v>
      </c>
      <c r="I169" s="4">
        <v>7865000</v>
      </c>
      <c r="J169" s="4">
        <v>15155000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118000</v>
      </c>
      <c r="C171" s="4">
        <v>3650000</v>
      </c>
      <c r="D171" s="4">
        <v>-37941000</v>
      </c>
      <c r="E171" s="4">
        <v>4305000</v>
      </c>
      <c r="F171" s="5">
        <v>-29092000</v>
      </c>
      <c r="G171" s="4">
        <v>2660000</v>
      </c>
      <c r="H171" s="4">
        <v>1691000</v>
      </c>
      <c r="I171" s="4">
        <v>4010000</v>
      </c>
      <c r="J171" s="4">
        <v>-37453000</v>
      </c>
    </row>
    <row r="172" spans="1:10" ht="16" x14ac:dyDescent="0.2">
      <c r="A172" s="3" t="s">
        <v>164</v>
      </c>
      <c r="B172" s="4">
        <v>-10000000</v>
      </c>
      <c r="C172" s="4">
        <v>-15000000</v>
      </c>
      <c r="D172" s="4" t="s">
        <v>15</v>
      </c>
      <c r="E172" s="4" t="s">
        <v>15</v>
      </c>
      <c r="F172" s="5">
        <v>0</v>
      </c>
      <c r="G172" s="4" t="s">
        <v>15</v>
      </c>
      <c r="H172" s="4" t="s">
        <v>15</v>
      </c>
      <c r="I172" s="4" t="s">
        <v>15</v>
      </c>
      <c r="J172" s="4" t="s">
        <v>15</v>
      </c>
    </row>
    <row r="173" spans="1:10" ht="16" x14ac:dyDescent="0.2">
      <c r="A173" s="3" t="s">
        <v>165</v>
      </c>
      <c r="B173" s="4">
        <v>-9326000</v>
      </c>
      <c r="C173" s="4">
        <v>-131000</v>
      </c>
      <c r="D173" s="4">
        <v>9570000</v>
      </c>
      <c r="E173" s="4">
        <v>9211000</v>
      </c>
      <c r="F173" s="5">
        <v>-14866000</v>
      </c>
      <c r="G173" s="4">
        <v>274000</v>
      </c>
      <c r="H173" s="4">
        <v>-14864000</v>
      </c>
      <c r="I173" s="4">
        <v>-130000</v>
      </c>
      <c r="J173" s="4">
        <v>-146000</v>
      </c>
    </row>
    <row r="174" spans="1:10" ht="16" x14ac:dyDescent="0.2">
      <c r="A174" s="3" t="s">
        <v>166</v>
      </c>
      <c r="B174" s="4" t="s">
        <v>15</v>
      </c>
      <c r="C174" s="4" t="s">
        <v>15</v>
      </c>
      <c r="D174" s="4">
        <v>10000000</v>
      </c>
      <c r="E174" s="4">
        <v>29564000</v>
      </c>
      <c r="F174" s="5">
        <v>252000</v>
      </c>
      <c r="G174" s="4">
        <v>252000</v>
      </c>
      <c r="H174" s="4" t="s">
        <v>15</v>
      </c>
      <c r="I174" s="4" t="s">
        <v>15</v>
      </c>
      <c r="J174" s="4" t="s">
        <v>15</v>
      </c>
    </row>
    <row r="175" spans="1:10" ht="16" x14ac:dyDescent="0.2">
      <c r="A175" s="3" t="s">
        <v>167</v>
      </c>
      <c r="B175" s="4">
        <v>-9326000</v>
      </c>
      <c r="C175" s="4">
        <v>-131000</v>
      </c>
      <c r="D175" s="4">
        <v>-430000</v>
      </c>
      <c r="E175" s="4">
        <v>-20353000</v>
      </c>
      <c r="F175" s="5">
        <v>-15118000</v>
      </c>
      <c r="G175" s="4">
        <v>22000</v>
      </c>
      <c r="H175" s="4">
        <v>-14864000</v>
      </c>
      <c r="I175" s="4">
        <v>-130000</v>
      </c>
      <c r="J175" s="4">
        <v>-146000</v>
      </c>
    </row>
    <row r="176" spans="1:10" ht="16" x14ac:dyDescent="0.2">
      <c r="A176" s="3" t="s">
        <v>168</v>
      </c>
      <c r="B176" s="4">
        <v>14000</v>
      </c>
      <c r="C176" s="4" t="s">
        <v>15</v>
      </c>
      <c r="D176" s="4">
        <v>150265000</v>
      </c>
      <c r="E176" s="4">
        <v>-2021000</v>
      </c>
      <c r="F176" s="5">
        <v>-97929000</v>
      </c>
      <c r="G176" s="4" t="s">
        <v>15</v>
      </c>
      <c r="H176" s="4" t="s">
        <v>15</v>
      </c>
      <c r="I176" s="4">
        <v>-36918000</v>
      </c>
      <c r="J176" s="4">
        <v>-61011000</v>
      </c>
    </row>
    <row r="177" spans="1:10" ht="16" x14ac:dyDescent="0.2">
      <c r="A177" s="3" t="s">
        <v>169</v>
      </c>
      <c r="B177" s="4">
        <v>14000</v>
      </c>
      <c r="C177" s="4" t="s">
        <v>15</v>
      </c>
      <c r="D177" s="4">
        <v>150265000</v>
      </c>
      <c r="E177" s="4" t="s">
        <v>15</v>
      </c>
      <c r="F177" s="5" t="s">
        <v>15</v>
      </c>
      <c r="G177" s="4" t="s">
        <v>15</v>
      </c>
      <c r="H177" s="4" t="s">
        <v>15</v>
      </c>
      <c r="I177" s="4" t="s">
        <v>15</v>
      </c>
      <c r="J177" s="4" t="s">
        <v>15</v>
      </c>
    </row>
    <row r="178" spans="1:10" ht="16" x14ac:dyDescent="0.2">
      <c r="A178" s="3" t="s">
        <v>170</v>
      </c>
      <c r="B178" s="4" t="s">
        <v>15</v>
      </c>
      <c r="C178" s="4" t="s">
        <v>15</v>
      </c>
      <c r="D178" s="4" t="s">
        <v>15</v>
      </c>
      <c r="E178" s="4">
        <v>-2021000</v>
      </c>
      <c r="F178" s="5">
        <v>-97929000</v>
      </c>
      <c r="G178" s="4" t="s">
        <v>15</v>
      </c>
      <c r="H178" s="4" t="s">
        <v>15</v>
      </c>
      <c r="I178" s="4">
        <v>-36918000</v>
      </c>
      <c r="J178" s="4">
        <v>-61011000</v>
      </c>
    </row>
    <row r="179" spans="1:10" ht="16" x14ac:dyDescent="0.2">
      <c r="A179" s="3" t="s">
        <v>171</v>
      </c>
      <c r="B179" s="4">
        <v>-30000</v>
      </c>
      <c r="C179" s="4">
        <v>-67000</v>
      </c>
      <c r="D179" s="4">
        <v>-6087000</v>
      </c>
      <c r="E179" s="4">
        <v>-34517000</v>
      </c>
      <c r="F179" s="5">
        <v>-33915000</v>
      </c>
      <c r="G179" s="4">
        <v>-444000</v>
      </c>
      <c r="H179" s="4">
        <v>-20987000</v>
      </c>
      <c r="I179" s="4">
        <v>-2564000</v>
      </c>
      <c r="J179" s="4">
        <v>-9920000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-19342000</v>
      </c>
      <c r="C181" s="4">
        <v>-15198000</v>
      </c>
      <c r="D181" s="4">
        <v>153748000</v>
      </c>
      <c r="E181" s="4">
        <v>-27327000</v>
      </c>
      <c r="F181" s="5">
        <v>-146710000</v>
      </c>
      <c r="G181" s="4">
        <v>-170000</v>
      </c>
      <c r="H181" s="4">
        <v>-35851000</v>
      </c>
      <c r="I181" s="4">
        <v>-39612000</v>
      </c>
      <c r="J181" s="4">
        <v>-71077000</v>
      </c>
    </row>
    <row r="182" spans="1:10" ht="16" x14ac:dyDescent="0.2">
      <c r="A182" s="3" t="s">
        <v>173</v>
      </c>
      <c r="B182" s="4">
        <v>-39000</v>
      </c>
      <c r="C182" s="4">
        <v>30000</v>
      </c>
      <c r="D182" s="4">
        <v>171000</v>
      </c>
      <c r="E182" s="4">
        <v>466000</v>
      </c>
      <c r="F182" s="5">
        <v>2240000</v>
      </c>
      <c r="G182" s="4">
        <v>-470000</v>
      </c>
      <c r="H182" s="4">
        <v>1322000</v>
      </c>
      <c r="I182" s="4">
        <v>869000</v>
      </c>
      <c r="J182" s="4">
        <v>519000</v>
      </c>
    </row>
    <row r="183" spans="1:10" ht="16" x14ac:dyDescent="0.2">
      <c r="A183" s="3" t="s">
        <v>174</v>
      </c>
      <c r="B183" s="4">
        <v>11499000</v>
      </c>
      <c r="C183" s="4">
        <v>76938000</v>
      </c>
      <c r="D183" s="4">
        <v>224293000</v>
      </c>
      <c r="E183" s="4">
        <v>131429000</v>
      </c>
      <c r="F183" s="5">
        <v>93160000</v>
      </c>
      <c r="G183" s="4">
        <v>88783000</v>
      </c>
      <c r="H183" s="4">
        <v>-75528000</v>
      </c>
      <c r="I183" s="4">
        <v>48931000</v>
      </c>
      <c r="J183" s="4">
        <v>30974000</v>
      </c>
    </row>
    <row r="184" spans="1:10" ht="16" x14ac:dyDescent="0.2">
      <c r="A184" s="3" t="s">
        <v>45</v>
      </c>
      <c r="B184" s="4">
        <v>18780000</v>
      </c>
      <c r="C184" s="4">
        <v>34025000</v>
      </c>
      <c r="D184" s="4">
        <v>88618000</v>
      </c>
      <c r="E184" s="4">
        <v>141591000</v>
      </c>
      <c r="F184" s="5">
        <v>166456000</v>
      </c>
      <c r="G184" s="4">
        <v>39317000</v>
      </c>
      <c r="H184" s="4">
        <v>34599000</v>
      </c>
      <c r="I184" s="4">
        <v>41925000</v>
      </c>
      <c r="J184" s="4">
        <v>50615000</v>
      </c>
    </row>
    <row r="185" spans="1:10" ht="16" x14ac:dyDescent="0.2">
      <c r="A185" s="3" t="s">
        <v>46</v>
      </c>
      <c r="B185" s="6">
        <v>33.97</v>
      </c>
      <c r="C185" s="6">
        <v>32.67</v>
      </c>
      <c r="D185" s="6">
        <v>36.299999999999997</v>
      </c>
      <c r="E185" s="6">
        <v>33.799999999999997</v>
      </c>
      <c r="F185" s="7">
        <v>31.48</v>
      </c>
      <c r="G185" s="6">
        <v>35.33</v>
      </c>
      <c r="H185" s="6">
        <v>33.799999999999997</v>
      </c>
      <c r="I185" s="6">
        <v>32.590000000000003</v>
      </c>
      <c r="J185" s="6">
        <v>31.48</v>
      </c>
    </row>
    <row r="186" spans="1:10" ht="16" x14ac:dyDescent="0.2">
      <c r="A186" s="3" t="s">
        <v>175</v>
      </c>
      <c r="B186" s="4" t="s">
        <v>15</v>
      </c>
      <c r="C186" s="4" t="s">
        <v>15</v>
      </c>
      <c r="D186" s="4" t="s">
        <v>15</v>
      </c>
      <c r="E186" s="4" t="s">
        <v>15</v>
      </c>
      <c r="F186" s="5" t="s">
        <v>15</v>
      </c>
      <c r="G186" s="4" t="s">
        <v>15</v>
      </c>
      <c r="H186" s="4" t="s">
        <v>15</v>
      </c>
      <c r="I186" s="4" t="s">
        <v>15</v>
      </c>
      <c r="J186" s="4" t="s">
        <v>15</v>
      </c>
    </row>
    <row r="187" spans="1:10" ht="16" x14ac:dyDescent="0.2">
      <c r="A187" s="3" t="s">
        <v>176</v>
      </c>
      <c r="B187" s="4">
        <v>29017000</v>
      </c>
      <c r="C187" s="4">
        <v>84604000</v>
      </c>
      <c r="D187" s="4">
        <v>60469000</v>
      </c>
      <c r="E187" s="4">
        <v>142099000</v>
      </c>
      <c r="F187" s="5">
        <v>253108000</v>
      </c>
      <c r="G187" s="4">
        <v>83019000</v>
      </c>
      <c r="H187" s="4">
        <v>-45146000</v>
      </c>
      <c r="I187" s="4">
        <v>80678000</v>
      </c>
      <c r="J187" s="4">
        <v>134557000</v>
      </c>
    </row>
    <row r="188" spans="1:10" ht="16" x14ac:dyDescent="0.2">
      <c r="A188" s="30" t="s">
        <v>177</v>
      </c>
      <c r="B188" s="28">
        <v>29043262</v>
      </c>
      <c r="C188" s="28">
        <v>84621943</v>
      </c>
      <c r="D188" s="28">
        <v>60598300</v>
      </c>
      <c r="E188" s="28">
        <v>164390908</v>
      </c>
      <c r="F188" s="29">
        <v>283740554</v>
      </c>
      <c r="G188" s="28">
        <v>91694457</v>
      </c>
      <c r="H188" s="28">
        <v>-37829751</v>
      </c>
      <c r="I188" s="28">
        <v>85671925</v>
      </c>
      <c r="J188" s="28">
        <v>144105557</v>
      </c>
    </row>
    <row r="189" spans="1:10" ht="16" x14ac:dyDescent="0.2">
      <c r="A189" s="23" t="s">
        <v>190</v>
      </c>
      <c r="B189" s="24"/>
      <c r="C189" s="25">
        <f>(C188/B188)-1</f>
        <v>1.9136514693149826</v>
      </c>
      <c r="D189" s="25">
        <f>(D188/C188)-1</f>
        <v>-0.28389377681862016</v>
      </c>
      <c r="E189" s="25">
        <f>(E188/D188)-1</f>
        <v>1.7127973557013974</v>
      </c>
      <c r="F189" s="25">
        <f t="shared" ref="F189:J189" si="8">(F188/E188)-1</f>
        <v>0.72601123414927549</v>
      </c>
      <c r="G189" s="25"/>
      <c r="H189" s="25">
        <f t="shared" si="8"/>
        <v>-1.4125631170922359</v>
      </c>
      <c r="I189" s="25">
        <f t="shared" si="8"/>
        <v>-3.2646706027750487</v>
      </c>
      <c r="J189" s="25">
        <f t="shared" si="8"/>
        <v>0.68206278778024432</v>
      </c>
    </row>
    <row r="190" spans="1:10" ht="16" x14ac:dyDescent="0.2">
      <c r="A190" s="26" t="s">
        <v>191</v>
      </c>
      <c r="B190" s="27">
        <f t="shared" ref="B190:J190" si="9">B188/B2</f>
        <v>0.5252991010870155</v>
      </c>
      <c r="C190" s="27">
        <f t="shared" si="9"/>
        <v>0.81255526535628897</v>
      </c>
      <c r="D190" s="27">
        <f t="shared" si="9"/>
        <v>0.24823160740619368</v>
      </c>
      <c r="E190" s="27">
        <f t="shared" si="9"/>
        <v>0.39241130990034018</v>
      </c>
      <c r="F190" s="27">
        <f t="shared" si="9"/>
        <v>0.53665865481911879</v>
      </c>
      <c r="G190" s="27">
        <f t="shared" si="9"/>
        <v>0.81969585389401411</v>
      </c>
      <c r="H190" s="27">
        <f t="shared" si="9"/>
        <v>-0.31943249062721651</v>
      </c>
      <c r="I190" s="27">
        <f t="shared" si="9"/>
        <v>0.62403523276056727</v>
      </c>
      <c r="J190" s="27">
        <f t="shared" si="9"/>
        <v>0.89429902940336858</v>
      </c>
    </row>
    <row r="191" spans="1:10" ht="16" x14ac:dyDescent="0.2">
      <c r="A191" s="3" t="s">
        <v>178</v>
      </c>
      <c r="B191" s="4" t="s">
        <v>15</v>
      </c>
      <c r="C191" s="4">
        <v>87479000</v>
      </c>
      <c r="D191" s="4">
        <v>116107000</v>
      </c>
      <c r="E191" s="4">
        <v>162675000</v>
      </c>
      <c r="F191" s="5">
        <v>253026000</v>
      </c>
      <c r="G191" s="4">
        <v>86282000</v>
      </c>
      <c r="H191" s="4">
        <v>-56360000</v>
      </c>
      <c r="I191" s="4">
        <v>84354000</v>
      </c>
      <c r="J191" s="4">
        <v>138750000</v>
      </c>
    </row>
    <row r="192" spans="1:10" ht="16" x14ac:dyDescent="0.2">
      <c r="A192" s="3" t="s">
        <v>179</v>
      </c>
      <c r="B192" s="6">
        <v>0.1</v>
      </c>
      <c r="C192" s="6">
        <v>0.28999999999999998</v>
      </c>
      <c r="D192" s="6">
        <v>0.21</v>
      </c>
      <c r="E192" s="6">
        <v>0.48</v>
      </c>
      <c r="F192" s="7">
        <v>0.86</v>
      </c>
      <c r="G192" s="6">
        <v>0.28000000000000003</v>
      </c>
      <c r="H192" s="6">
        <v>-0.15</v>
      </c>
      <c r="I192" s="6">
        <v>0.27</v>
      </c>
      <c r="J192" s="6">
        <v>0.46</v>
      </c>
    </row>
    <row r="193" spans="1:10" ht="16" x14ac:dyDescent="0.2">
      <c r="A193" s="3" t="s">
        <v>180</v>
      </c>
      <c r="B193" s="4" t="s">
        <v>15</v>
      </c>
      <c r="C193" s="4" t="s">
        <v>15</v>
      </c>
      <c r="D193" s="6">
        <v>70.45</v>
      </c>
      <c r="E193" s="6">
        <v>29.23</v>
      </c>
      <c r="F193" s="7">
        <v>13.34</v>
      </c>
      <c r="G193" s="4" t="s">
        <v>15</v>
      </c>
      <c r="H193" s="4" t="s">
        <v>15</v>
      </c>
      <c r="I193" s="6">
        <v>28.42</v>
      </c>
      <c r="J193" s="6">
        <v>13.22</v>
      </c>
    </row>
    <row r="194" spans="1:10" ht="16" x14ac:dyDescent="0.2">
      <c r="A194" s="3" t="s">
        <v>181</v>
      </c>
      <c r="B194" s="6">
        <v>1.97</v>
      </c>
      <c r="C194" s="6">
        <v>3.14</v>
      </c>
      <c r="D194" s="6">
        <v>1.39</v>
      </c>
      <c r="E194" s="6">
        <v>1.42</v>
      </c>
      <c r="F194" s="7">
        <v>2.04</v>
      </c>
      <c r="G194" s="6">
        <v>2.66</v>
      </c>
      <c r="H194" s="6">
        <v>-2.14</v>
      </c>
      <c r="I194" s="6">
        <v>2.38</v>
      </c>
      <c r="J194" s="6">
        <v>3.12</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J13 A37:J128 A130:J142 A144:J171 A173:J188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B18FD-8196-0147-9E17-9E58836880B3}">
  <dimension ref="A1:R110"/>
  <sheetViews>
    <sheetView tabSelected="1" workbookViewId="0">
      <selection activeCell="G21" sqref="G21"/>
    </sheetView>
  </sheetViews>
  <sheetFormatPr baseColWidth="10" defaultRowHeight="15" x14ac:dyDescent="0.2"/>
  <cols>
    <col min="1" max="18"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c r="Q1" s="116"/>
      <c r="R1" s="116"/>
    </row>
    <row r="2" spans="1:18" s="117" customFormat="1" ht="22" customHeight="1" thickBot="1" x14ac:dyDescent="0.25">
      <c r="A2" s="116"/>
      <c r="B2" s="116"/>
      <c r="C2" s="116"/>
      <c r="D2" s="116"/>
      <c r="E2" s="116"/>
      <c r="F2" s="116"/>
      <c r="G2" s="116"/>
      <c r="H2" s="116"/>
      <c r="I2" s="116"/>
      <c r="J2" s="116"/>
      <c r="K2" s="116"/>
      <c r="L2" s="116"/>
      <c r="M2" s="116"/>
      <c r="N2" s="116"/>
      <c r="O2" s="116"/>
      <c r="P2" s="116"/>
      <c r="Q2" s="116"/>
      <c r="R2" s="116"/>
    </row>
    <row r="3" spans="1:18" ht="22" customHeight="1" x14ac:dyDescent="0.2">
      <c r="A3" s="37" cm="1">
        <f t="array" ref="A3">_FV(A1,"Market cap",TRUE)</f>
        <v>5159922000</v>
      </c>
      <c r="B3" s="38" t="s">
        <v>192</v>
      </c>
      <c r="C3" s="39">
        <f>Financials!F8*0.01</f>
        <v>0.45689999999999997</v>
      </c>
      <c r="D3" s="38" t="s">
        <v>193</v>
      </c>
      <c r="E3" s="39">
        <f>SUM(C11:E11)/3</f>
        <v>0.98125263907299054</v>
      </c>
      <c r="F3" s="40" t="s">
        <v>194</v>
      </c>
      <c r="G3" s="41">
        <f>AVERAGE(Financials!E129:J129)</f>
        <v>-3.1833319332481569E-3</v>
      </c>
      <c r="H3" s="40" t="s">
        <v>195</v>
      </c>
      <c r="I3" s="42">
        <f>J15*(1+I7)/(I6-I7)</f>
        <v>11005566589.204493</v>
      </c>
      <c r="J3" s="43" t="s">
        <v>196</v>
      </c>
      <c r="K3" s="44">
        <f>(Financials!F172*-1)/Model!A3</f>
        <v>0</v>
      </c>
      <c r="L3" s="45" t="s">
        <v>197</v>
      </c>
      <c r="M3" s="46"/>
      <c r="N3" s="118" t="s">
        <v>198</v>
      </c>
      <c r="O3" s="119"/>
      <c r="P3" s="46"/>
      <c r="Q3" s="46"/>
      <c r="R3" s="46"/>
    </row>
    <row r="4" spans="1:18" ht="22" customHeight="1" x14ac:dyDescent="0.2">
      <c r="A4" s="47">
        <f>Financials!F56-Financials!F96-Financials!F105</f>
        <v>596984000</v>
      </c>
      <c r="B4" s="48" t="s">
        <v>199</v>
      </c>
      <c r="C4" s="49">
        <f>Financials!F17*0.01</f>
        <v>0.29600000000000004</v>
      </c>
      <c r="D4" s="48" t="s">
        <v>200</v>
      </c>
      <c r="E4" s="49">
        <f>SUM(C13:E13)/3</f>
        <v>0.98838450470909389</v>
      </c>
      <c r="F4" s="50" t="s">
        <v>201</v>
      </c>
      <c r="G4" s="51">
        <f>A5*(1+(5*G3))</f>
        <v>284949105.45202863</v>
      </c>
      <c r="H4" s="50" t="s">
        <v>202</v>
      </c>
      <c r="I4" s="52">
        <f>NPV(I6,F15,G15,H15,I15,(J15+I3))</f>
        <v>8696040974.3926392</v>
      </c>
      <c r="J4" s="50" t="s">
        <v>203</v>
      </c>
      <c r="K4" s="53" cm="1">
        <f t="array" ref="K4">_FV(A1,"Change (%)",TRUE)</f>
        <v>3.3043000000000003E-2</v>
      </c>
      <c r="L4" s="54" t="s">
        <v>204</v>
      </c>
      <c r="M4" s="46"/>
      <c r="N4" s="120" t="s">
        <v>205</v>
      </c>
      <c r="O4" s="121"/>
      <c r="P4" s="46"/>
      <c r="Q4" s="46"/>
      <c r="R4" s="46"/>
    </row>
    <row r="5" spans="1:18" ht="22" customHeight="1" x14ac:dyDescent="0.2">
      <c r="A5" s="47" cm="1">
        <f t="array" ref="A5">_FV(A1,"Shares outstanding",TRUE)</f>
        <v>289557900</v>
      </c>
      <c r="B5" s="48" t="s">
        <v>206</v>
      </c>
      <c r="C5" s="49">
        <f>F14</f>
        <v>0.27258566978193144</v>
      </c>
      <c r="D5" s="55" t="s">
        <v>207</v>
      </c>
      <c r="E5" s="49">
        <f>SUM(C16:E16)/3</f>
        <v>1.1141850160659199</v>
      </c>
      <c r="F5" s="50" t="s">
        <v>208</v>
      </c>
      <c r="G5" s="51">
        <f>Financials!F56</f>
        <v>600951000</v>
      </c>
      <c r="H5" s="50" t="s">
        <v>209</v>
      </c>
      <c r="I5" s="52">
        <f>I4+G5-G6</f>
        <v>9293024974.3926392</v>
      </c>
      <c r="J5" s="50" t="s">
        <v>210</v>
      </c>
      <c r="K5" s="56" cm="1">
        <f t="array" ref="K5">_FV(A1,"Price")</f>
        <v>17.82</v>
      </c>
      <c r="L5" s="57" t="s">
        <v>211</v>
      </c>
      <c r="M5" s="46"/>
      <c r="N5" s="58" t="s">
        <v>212</v>
      </c>
      <c r="O5" s="59">
        <f>Financials!F20</f>
        <v>-3300000</v>
      </c>
      <c r="P5" s="46"/>
      <c r="Q5" s="46"/>
      <c r="R5" s="46"/>
    </row>
    <row r="6" spans="1:18" ht="22" customHeight="1" x14ac:dyDescent="0.2">
      <c r="A6" s="60">
        <f>O20/F10</f>
        <v>8.0372616822429901</v>
      </c>
      <c r="B6" s="48" t="s">
        <v>213</v>
      </c>
      <c r="C6" s="49">
        <f>F17</f>
        <v>0.42056074766355139</v>
      </c>
      <c r="D6" s="55" t="s">
        <v>191</v>
      </c>
      <c r="E6" s="49">
        <f>Financials!F33/Financials!F126</f>
        <v>0.33923053588964469</v>
      </c>
      <c r="F6" s="48" t="s">
        <v>214</v>
      </c>
      <c r="G6" s="51">
        <f>Financials!F96+Financials!F105</f>
        <v>3967000</v>
      </c>
      <c r="H6" s="50" t="s">
        <v>215</v>
      </c>
      <c r="I6" s="53">
        <f>N25</f>
        <v>9.699311308308306E-2</v>
      </c>
      <c r="J6" s="50" t="s">
        <v>216</v>
      </c>
      <c r="K6" s="61">
        <f>I5/G4</f>
        <v>32.612929104131283</v>
      </c>
      <c r="L6" s="62" t="s">
        <v>217</v>
      </c>
      <c r="M6" s="46"/>
      <c r="N6" s="58" t="s">
        <v>218</v>
      </c>
      <c r="O6" s="59">
        <f>Financials!F96</f>
        <v>675000</v>
      </c>
      <c r="P6" s="46"/>
      <c r="Q6" s="46"/>
      <c r="R6" s="46"/>
    </row>
    <row r="7" spans="1:18" ht="22" customHeight="1" thickBot="1" x14ac:dyDescent="0.25">
      <c r="A7" s="63">
        <f>O20/F12</f>
        <v>29.48526857142857</v>
      </c>
      <c r="B7" s="64" t="s">
        <v>219</v>
      </c>
      <c r="C7" s="65">
        <f>F15/A3</f>
        <v>5.232637237539637E-2</v>
      </c>
      <c r="D7" s="64" t="s">
        <v>220</v>
      </c>
      <c r="E7" s="66">
        <f>(Financials!F16*(1-0.25))/(Financials!F126+Financials!F105+Financials!F96)</f>
        <v>0.29870026592699095</v>
      </c>
      <c r="F7" s="64" t="s">
        <v>187</v>
      </c>
      <c r="G7" s="67">
        <f>(Financials!F96+Financials!F105)/Financials!F126</f>
        <v>1.0197995876585484E-2</v>
      </c>
      <c r="H7" s="68" t="s">
        <v>221</v>
      </c>
      <c r="I7" s="69">
        <v>2.5000000000000001E-2</v>
      </c>
      <c r="J7" s="70" t="s">
        <v>222</v>
      </c>
      <c r="K7" s="71">
        <f>K6/K5-1</f>
        <v>0.83013070169086878</v>
      </c>
      <c r="L7" s="72" t="s">
        <v>223</v>
      </c>
      <c r="M7" s="46"/>
      <c r="N7" s="58" t="s">
        <v>224</v>
      </c>
      <c r="O7" s="59">
        <f>Financials!F105</f>
        <v>3292000</v>
      </c>
      <c r="P7" s="46"/>
      <c r="Q7" s="46"/>
      <c r="R7" s="46"/>
    </row>
    <row r="8" spans="1:18" ht="22" customHeight="1" x14ac:dyDescent="0.2">
      <c r="A8" s="73"/>
      <c r="B8" s="46"/>
      <c r="C8" s="46"/>
      <c r="D8" s="46"/>
      <c r="E8" s="46"/>
      <c r="F8" s="46"/>
      <c r="G8" s="46"/>
      <c r="H8" s="46"/>
      <c r="I8" s="46"/>
      <c r="J8" s="74"/>
      <c r="K8" s="74"/>
      <c r="L8" s="74"/>
      <c r="M8" s="46"/>
      <c r="N8" s="75" t="s">
        <v>205</v>
      </c>
      <c r="O8" s="76">
        <f>O5/(O6+O7)</f>
        <v>-0.83186286866649861</v>
      </c>
      <c r="P8" s="46"/>
      <c r="Q8" s="46"/>
      <c r="R8" s="46"/>
    </row>
    <row r="9" spans="1:18" ht="22" customHeight="1" x14ac:dyDescent="0.2">
      <c r="A9" s="77"/>
      <c r="B9" s="78">
        <v>2019</v>
      </c>
      <c r="C9" s="78">
        <v>2020</v>
      </c>
      <c r="D9" s="78">
        <v>2021</v>
      </c>
      <c r="E9" s="79">
        <v>2022</v>
      </c>
      <c r="F9" s="80">
        <v>2023</v>
      </c>
      <c r="G9" s="81">
        <v>2024</v>
      </c>
      <c r="H9" s="81">
        <v>2025</v>
      </c>
      <c r="I9" s="81">
        <v>2026</v>
      </c>
      <c r="J9" s="82">
        <v>2027</v>
      </c>
      <c r="K9" s="74"/>
      <c r="L9" s="74"/>
      <c r="M9" s="74"/>
      <c r="N9" s="58" t="s">
        <v>225</v>
      </c>
      <c r="O9" s="59">
        <f>Financials!F25</f>
        <v>19277000</v>
      </c>
      <c r="P9" s="46"/>
      <c r="Q9" s="46"/>
      <c r="R9" s="46"/>
    </row>
    <row r="10" spans="1:18" ht="22" customHeight="1" x14ac:dyDescent="0.2">
      <c r="A10" s="83" t="s">
        <v>226</v>
      </c>
      <c r="B10" s="84">
        <v>55289000</v>
      </c>
      <c r="C10" s="84">
        <v>104143000</v>
      </c>
      <c r="D10" s="84">
        <v>244120000</v>
      </c>
      <c r="E10" s="85">
        <v>418925000</v>
      </c>
      <c r="F10" s="84">
        <v>642000000</v>
      </c>
      <c r="G10" s="84">
        <v>900000000</v>
      </c>
      <c r="H10" s="84">
        <v>1164000000</v>
      </c>
      <c r="I10" s="84">
        <v>1535000000</v>
      </c>
      <c r="J10" s="85">
        <v>1842000000</v>
      </c>
      <c r="K10" s="86" t="s">
        <v>227</v>
      </c>
      <c r="L10" s="74"/>
      <c r="N10" s="58" t="s">
        <v>228</v>
      </c>
      <c r="O10" s="59">
        <f>Financials!F24</f>
        <v>151220000</v>
      </c>
      <c r="P10" s="46"/>
      <c r="Q10" s="46"/>
      <c r="R10" s="46"/>
    </row>
    <row r="11" spans="1:18" ht="22" customHeight="1" x14ac:dyDescent="0.2">
      <c r="A11" s="87"/>
      <c r="B11" s="88"/>
      <c r="C11" s="88">
        <f t="shared" ref="C11:J11" si="0">(C10/B10)-1</f>
        <v>0.88361156830472609</v>
      </c>
      <c r="D11" s="88">
        <f t="shared" si="0"/>
        <v>1.3440845760156708</v>
      </c>
      <c r="E11" s="88">
        <f t="shared" si="0"/>
        <v>0.71606177289857453</v>
      </c>
      <c r="F11" s="89">
        <f t="shared" si="0"/>
        <v>0.53249388315330903</v>
      </c>
      <c r="G11" s="88">
        <f t="shared" si="0"/>
        <v>0.40186915887850461</v>
      </c>
      <c r="H11" s="88">
        <f t="shared" si="0"/>
        <v>0.29333333333333322</v>
      </c>
      <c r="I11" s="88">
        <f t="shared" si="0"/>
        <v>0.31872852233676974</v>
      </c>
      <c r="J11" s="90">
        <f t="shared" si="0"/>
        <v>0.19999999999999996</v>
      </c>
      <c r="K11" s="90">
        <f>SUM(F11:J11)/5</f>
        <v>0.34928497954038329</v>
      </c>
      <c r="L11" s="74"/>
      <c r="M11" s="74"/>
      <c r="N11" s="58" t="s">
        <v>229</v>
      </c>
      <c r="O11" s="91">
        <f>O9/O10</f>
        <v>0.12747652426927655</v>
      </c>
      <c r="P11" s="46"/>
      <c r="Q11" s="46"/>
      <c r="R11" s="46"/>
    </row>
    <row r="12" spans="1:18" ht="22" customHeight="1" x14ac:dyDescent="0.2">
      <c r="A12" s="83" t="s">
        <v>133</v>
      </c>
      <c r="B12" s="84">
        <v>15602000</v>
      </c>
      <c r="C12" s="84">
        <v>28184000</v>
      </c>
      <c r="D12" s="84">
        <v>77876000</v>
      </c>
      <c r="E12" s="84">
        <v>108683000</v>
      </c>
      <c r="F12" s="92">
        <v>175000000</v>
      </c>
      <c r="G12" s="84">
        <v>247000000</v>
      </c>
      <c r="H12" s="84">
        <v>309000000</v>
      </c>
      <c r="I12" s="84">
        <v>430000000</v>
      </c>
      <c r="J12" s="85">
        <v>601000000</v>
      </c>
      <c r="K12" s="93" t="s">
        <v>230</v>
      </c>
      <c r="L12" s="74"/>
      <c r="M12" s="74"/>
      <c r="N12" s="58" t="s">
        <v>231</v>
      </c>
      <c r="O12" s="91">
        <f>O8*(1-O11)</f>
        <v>-0.7258198815002237</v>
      </c>
      <c r="P12" s="46"/>
      <c r="Q12" s="46"/>
      <c r="R12" s="46"/>
    </row>
    <row r="13" spans="1:18" ht="22" customHeight="1" x14ac:dyDescent="0.2">
      <c r="A13" s="87"/>
      <c r="B13" s="88"/>
      <c r="C13" s="88">
        <f t="shared" ref="C13:J13" si="1">(C12/B12)-1</f>
        <v>0.80643507242661205</v>
      </c>
      <c r="D13" s="88">
        <f t="shared" si="1"/>
        <v>1.7631280158955436</v>
      </c>
      <c r="E13" s="88">
        <f t="shared" si="1"/>
        <v>0.39559042580512616</v>
      </c>
      <c r="F13" s="89">
        <f t="shared" si="1"/>
        <v>0.61018742581636509</v>
      </c>
      <c r="G13" s="88">
        <f t="shared" si="1"/>
        <v>0.41142857142857148</v>
      </c>
      <c r="H13" s="88">
        <f t="shared" si="1"/>
        <v>0.25101214574898778</v>
      </c>
      <c r="I13" s="88">
        <f t="shared" si="1"/>
        <v>0.39158576051779925</v>
      </c>
      <c r="J13" s="90">
        <f t="shared" si="1"/>
        <v>0.39767441860465125</v>
      </c>
      <c r="K13" s="90">
        <f>AVERAGE(F13:J13)</f>
        <v>0.412377664423275</v>
      </c>
      <c r="L13" s="74"/>
      <c r="M13" s="74"/>
      <c r="N13" s="120" t="s">
        <v>232</v>
      </c>
      <c r="O13" s="121"/>
      <c r="P13" s="46"/>
      <c r="Q13" s="46"/>
      <c r="R13" s="46"/>
    </row>
    <row r="14" spans="1:18" ht="22" customHeight="1" x14ac:dyDescent="0.2">
      <c r="A14" s="110" t="s">
        <v>233</v>
      </c>
      <c r="B14" s="94">
        <f>B12/B10</f>
        <v>0.28218994736746911</v>
      </c>
      <c r="C14" s="94">
        <f t="shared" ref="C14:J14" si="2">C12/C10</f>
        <v>0.27062788665584819</v>
      </c>
      <c r="D14" s="94">
        <f t="shared" si="2"/>
        <v>0.31900704571522204</v>
      </c>
      <c r="E14" s="94">
        <f t="shared" si="2"/>
        <v>0.2594330727457182</v>
      </c>
      <c r="F14" s="95">
        <f t="shared" si="2"/>
        <v>0.27258566978193144</v>
      </c>
      <c r="G14" s="94">
        <f t="shared" si="2"/>
        <v>0.27444444444444444</v>
      </c>
      <c r="H14" s="94">
        <f t="shared" si="2"/>
        <v>0.2654639175257732</v>
      </c>
      <c r="I14" s="94">
        <f t="shared" si="2"/>
        <v>0.28013029315960913</v>
      </c>
      <c r="J14" s="96">
        <f t="shared" si="2"/>
        <v>0.32627578718783928</v>
      </c>
      <c r="K14" s="96"/>
      <c r="L14" s="74"/>
      <c r="M14" s="74"/>
      <c r="N14" s="58" t="s">
        <v>234</v>
      </c>
      <c r="O14" s="91">
        <f>'[1]US Treasury Bonds'!$C$8</f>
        <v>4.2709999999999998E-2</v>
      </c>
      <c r="P14" s="46"/>
      <c r="Q14" s="46"/>
      <c r="R14" s="46"/>
    </row>
    <row r="15" spans="1:18" ht="22" customHeight="1" x14ac:dyDescent="0.2">
      <c r="A15" s="83" t="s">
        <v>176</v>
      </c>
      <c r="B15" s="84">
        <v>29043262</v>
      </c>
      <c r="C15" s="84">
        <v>84621943</v>
      </c>
      <c r="D15" s="84">
        <v>60598300</v>
      </c>
      <c r="E15" s="84">
        <v>164390908</v>
      </c>
      <c r="F15" s="92">
        <v>270000000</v>
      </c>
      <c r="G15" s="84">
        <v>353000000</v>
      </c>
      <c r="H15" s="84">
        <v>411000000</v>
      </c>
      <c r="I15" s="84">
        <v>624000000</v>
      </c>
      <c r="J15" s="85">
        <v>773000000</v>
      </c>
      <c r="K15" s="93" t="s">
        <v>235</v>
      </c>
      <c r="L15" s="74"/>
      <c r="M15" s="74"/>
      <c r="N15" s="58" t="s">
        <v>236</v>
      </c>
      <c r="O15" s="97">
        <f>1.33</f>
        <v>1.33</v>
      </c>
      <c r="P15" s="46"/>
      <c r="Q15" s="46"/>
      <c r="R15" s="46"/>
    </row>
    <row r="16" spans="1:18" ht="22" customHeight="1" x14ac:dyDescent="0.2">
      <c r="A16" s="98"/>
      <c r="B16" s="88"/>
      <c r="C16" s="88">
        <f t="shared" ref="C16:J16" si="3">(C15/B15)-1</f>
        <v>1.9136514693149826</v>
      </c>
      <c r="D16" s="88">
        <f t="shared" si="3"/>
        <v>-0.28389377681862016</v>
      </c>
      <c r="E16" s="88">
        <f t="shared" si="3"/>
        <v>1.7127973557013974</v>
      </c>
      <c r="F16" s="89">
        <f t="shared" si="3"/>
        <v>0.64242659940779689</v>
      </c>
      <c r="G16" s="88">
        <f t="shared" si="3"/>
        <v>0.30740740740740735</v>
      </c>
      <c r="H16" s="88">
        <f t="shared" si="3"/>
        <v>0.1643059490084986</v>
      </c>
      <c r="I16" s="88">
        <f t="shared" si="3"/>
        <v>0.51824817518248167</v>
      </c>
      <c r="J16" s="90">
        <f t="shared" si="3"/>
        <v>0.23878205128205132</v>
      </c>
      <c r="K16" s="90">
        <f>AVERAGE(G16:J16)</f>
        <v>0.30718589572010974</v>
      </c>
      <c r="L16" s="74"/>
      <c r="M16" s="74"/>
      <c r="N16" s="58" t="s">
        <v>237</v>
      </c>
      <c r="O16" s="91">
        <v>8.4000000000000005E-2</v>
      </c>
      <c r="P16" s="46"/>
      <c r="Q16" s="46"/>
      <c r="R16" s="46"/>
    </row>
    <row r="17" spans="1:18" ht="22" customHeight="1" x14ac:dyDescent="0.2">
      <c r="A17" s="110" t="s">
        <v>191</v>
      </c>
      <c r="B17" s="94">
        <f>B15/B10</f>
        <v>0.5252991010870155</v>
      </c>
      <c r="C17" s="94">
        <f t="shared" ref="C17:J17" si="4">C15/C10</f>
        <v>0.81255526535628897</v>
      </c>
      <c r="D17" s="94">
        <f t="shared" si="4"/>
        <v>0.24823160740619368</v>
      </c>
      <c r="E17" s="96">
        <f t="shared" si="4"/>
        <v>0.39241130990034018</v>
      </c>
      <c r="F17" s="94">
        <f t="shared" si="4"/>
        <v>0.42056074766355139</v>
      </c>
      <c r="G17" s="94">
        <f t="shared" si="4"/>
        <v>0.39222222222222225</v>
      </c>
      <c r="H17" s="94">
        <f t="shared" si="4"/>
        <v>0.35309278350515466</v>
      </c>
      <c r="I17" s="94">
        <f t="shared" si="4"/>
        <v>0.40651465798045605</v>
      </c>
      <c r="J17" s="96">
        <f t="shared" si="4"/>
        <v>0.4196525515743757</v>
      </c>
      <c r="K17" s="96"/>
      <c r="L17" s="74"/>
      <c r="M17" s="74"/>
      <c r="N17" s="99" t="s">
        <v>232</v>
      </c>
      <c r="O17" s="100">
        <f>(O14)+((O15)*(O16-O14))</f>
        <v>9.762570000000001E-2</v>
      </c>
      <c r="P17" s="46"/>
      <c r="Q17" s="46"/>
      <c r="R17" s="46"/>
    </row>
    <row r="18" spans="1:18" ht="22" customHeight="1" x14ac:dyDescent="0.2">
      <c r="A18" s="101" t="s">
        <v>187</v>
      </c>
      <c r="B18" s="102">
        <v>0.55272183889602056</v>
      </c>
      <c r="C18" s="102">
        <v>0.54731476163124637</v>
      </c>
      <c r="D18" s="102">
        <v>0.21747544452242579</v>
      </c>
      <c r="E18" s="102">
        <v>0.24791490689845652</v>
      </c>
      <c r="F18" s="103"/>
      <c r="G18" s="102"/>
      <c r="H18" s="102"/>
      <c r="I18" s="102"/>
      <c r="J18" s="104"/>
      <c r="K18" s="105"/>
      <c r="L18" s="74"/>
      <c r="M18" s="74"/>
      <c r="N18" s="120" t="s">
        <v>238</v>
      </c>
      <c r="O18" s="121"/>
      <c r="P18" s="46"/>
      <c r="Q18" s="46"/>
      <c r="R18" s="46"/>
    </row>
    <row r="19" spans="1:18" ht="22" customHeight="1" x14ac:dyDescent="0.2">
      <c r="A19" s="74"/>
      <c r="B19" s="74"/>
      <c r="C19" s="74"/>
      <c r="D19" s="74"/>
      <c r="E19" s="74"/>
      <c r="F19" s="74" t="s">
        <v>239</v>
      </c>
      <c r="G19" s="74"/>
      <c r="H19" s="74"/>
      <c r="I19" s="74"/>
      <c r="J19" s="74"/>
      <c r="K19" s="74"/>
      <c r="L19" s="74"/>
      <c r="M19" s="74"/>
      <c r="N19" s="58" t="s">
        <v>215</v>
      </c>
      <c r="O19" s="106">
        <f>O6+O7</f>
        <v>3967000</v>
      </c>
      <c r="P19" s="46"/>
      <c r="Q19" s="46"/>
      <c r="R19" s="46"/>
    </row>
    <row r="20" spans="1:18" ht="22" customHeight="1" x14ac:dyDescent="0.2">
      <c r="B20" s="107"/>
      <c r="C20" s="107"/>
      <c r="D20" s="107"/>
      <c r="E20" s="107"/>
      <c r="F20" s="74"/>
      <c r="G20" s="74"/>
      <c r="H20" s="74"/>
      <c r="I20" s="74"/>
      <c r="J20" s="74"/>
      <c r="K20" s="74"/>
      <c r="L20" s="74"/>
      <c r="M20" s="74"/>
      <c r="N20" s="58" t="s">
        <v>192</v>
      </c>
      <c r="O20" s="106">
        <f>A3</f>
        <v>5159922000</v>
      </c>
      <c r="P20" s="46"/>
      <c r="Q20" s="46"/>
      <c r="R20" s="46"/>
    </row>
    <row r="21" spans="1:18" ht="22" customHeight="1" x14ac:dyDescent="0.2">
      <c r="A21" s="122" t="str" cm="1">
        <f t="array" ref="A21">_FV(A1,"Industry")</f>
        <v>Professional &amp; Commercial Services</v>
      </c>
      <c r="B21" s="122"/>
      <c r="C21" s="122"/>
      <c r="D21" s="123" cm="1">
        <f t="array" ref="D21">_FV(A1,"Year incorporated",TRUE)</f>
        <v>2021</v>
      </c>
      <c r="E21" s="123"/>
      <c r="F21" s="74"/>
      <c r="G21" s="74"/>
      <c r="H21" s="74"/>
      <c r="I21" s="74"/>
      <c r="J21" s="74"/>
      <c r="K21" s="74"/>
      <c r="M21" s="74"/>
      <c r="N21" s="58" t="s">
        <v>240</v>
      </c>
      <c r="O21" s="106">
        <f>O19+O20</f>
        <v>5163889000</v>
      </c>
      <c r="P21" s="46"/>
      <c r="Q21" s="46"/>
      <c r="R21" s="46"/>
    </row>
    <row r="22" spans="1:18" ht="22" customHeight="1" x14ac:dyDescent="0.2">
      <c r="A22" s="111" t="str" cm="1">
        <f t="array" ref="A22">_FV(A1,"Description")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B22" s="111"/>
      <c r="C22" s="111"/>
      <c r="D22" s="111"/>
      <c r="E22" s="111"/>
      <c r="F22" s="74"/>
      <c r="G22" s="74"/>
      <c r="H22" s="74"/>
      <c r="I22" s="74"/>
      <c r="J22" s="74"/>
      <c r="K22" s="74"/>
      <c r="L22" s="74"/>
      <c r="M22" s="74"/>
      <c r="N22" s="75" t="s">
        <v>241</v>
      </c>
      <c r="O22" s="108">
        <f>(O19/O21)</f>
        <v>7.6821945630512194E-4</v>
      </c>
      <c r="P22" s="46"/>
      <c r="Q22" s="46"/>
      <c r="R22" s="46"/>
    </row>
    <row r="23" spans="1:18" ht="22" customHeight="1" x14ac:dyDescent="0.2">
      <c r="A23" s="111"/>
      <c r="B23" s="111"/>
      <c r="C23" s="111"/>
      <c r="D23" s="111"/>
      <c r="E23" s="111"/>
      <c r="F23" s="74"/>
      <c r="G23" s="74"/>
      <c r="H23" s="74"/>
      <c r="I23" s="74"/>
      <c r="J23" s="74"/>
      <c r="K23" s="74"/>
      <c r="L23" s="74"/>
      <c r="M23" s="74"/>
      <c r="N23" s="99" t="s">
        <v>242</v>
      </c>
      <c r="O23" s="109">
        <f>O20/O21</f>
        <v>0.99923178054369488</v>
      </c>
      <c r="P23" s="46"/>
      <c r="Q23" s="46"/>
      <c r="R23" s="46"/>
    </row>
    <row r="24" spans="1:18" ht="22" customHeight="1" x14ac:dyDescent="0.2">
      <c r="A24" s="111"/>
      <c r="B24" s="111"/>
      <c r="C24" s="111"/>
      <c r="D24" s="111"/>
      <c r="E24" s="111"/>
      <c r="F24" s="74"/>
      <c r="G24" s="74"/>
      <c r="H24" s="74"/>
      <c r="I24" s="74"/>
      <c r="J24" s="74"/>
      <c r="K24" s="74"/>
      <c r="L24" s="74"/>
      <c r="M24" s="74"/>
      <c r="N24" s="112" t="s">
        <v>243</v>
      </c>
      <c r="O24" s="113"/>
      <c r="P24" s="46"/>
      <c r="Q24" s="46"/>
      <c r="R24" s="46"/>
    </row>
    <row r="25" spans="1:18" ht="22" customHeight="1" x14ac:dyDescent="0.2">
      <c r="A25" s="111"/>
      <c r="B25" s="111"/>
      <c r="C25" s="111"/>
      <c r="D25" s="111"/>
      <c r="E25" s="111"/>
      <c r="F25" s="74"/>
      <c r="G25" s="74"/>
      <c r="H25" s="74"/>
      <c r="I25" s="74"/>
      <c r="J25" s="74"/>
      <c r="K25" s="74"/>
      <c r="L25" s="74"/>
      <c r="M25" s="74"/>
      <c r="N25" s="114">
        <f>(O22*O12)+(O23*O17)</f>
        <v>9.699311308308306E-2</v>
      </c>
      <c r="O25" s="115"/>
      <c r="P25" s="46"/>
      <c r="Q25" s="46"/>
      <c r="R25" s="46"/>
    </row>
    <row r="26" spans="1:18" ht="22" customHeight="1" x14ac:dyDescent="0.2">
      <c r="A26" s="111"/>
      <c r="B26" s="111"/>
      <c r="C26" s="111"/>
      <c r="D26" s="111"/>
      <c r="E26" s="111"/>
      <c r="F26" s="74"/>
      <c r="G26" s="74"/>
      <c r="H26" s="74"/>
      <c r="I26" s="74"/>
      <c r="J26" s="74"/>
      <c r="K26" s="74"/>
      <c r="L26" s="74"/>
      <c r="M26" s="74"/>
      <c r="N26" s="74"/>
      <c r="O26" s="46"/>
      <c r="P26" s="46"/>
      <c r="Q26" s="46"/>
      <c r="R26" s="46"/>
    </row>
    <row r="27" spans="1:18" ht="22" customHeight="1" x14ac:dyDescent="0.2">
      <c r="A27" s="111"/>
      <c r="B27" s="111"/>
      <c r="C27" s="111"/>
      <c r="D27" s="111"/>
      <c r="E27" s="111"/>
      <c r="F27" s="74"/>
      <c r="G27" s="74"/>
      <c r="H27" s="74"/>
      <c r="I27" s="74"/>
      <c r="J27" s="74"/>
      <c r="K27" s="74"/>
      <c r="L27" s="74"/>
      <c r="M27" s="74"/>
      <c r="N27" s="74"/>
      <c r="O27" s="46"/>
      <c r="P27" s="46"/>
      <c r="Q27" s="46"/>
      <c r="R27" s="46"/>
    </row>
    <row r="28" spans="1:18" ht="22" customHeight="1" x14ac:dyDescent="0.2">
      <c r="A28" s="111"/>
      <c r="B28" s="111"/>
      <c r="C28" s="111"/>
      <c r="D28" s="111"/>
      <c r="E28" s="111"/>
      <c r="F28" s="74"/>
      <c r="G28" s="74"/>
      <c r="H28" s="74"/>
      <c r="I28" s="74"/>
      <c r="J28" s="74"/>
      <c r="K28" s="74"/>
      <c r="L28" s="74"/>
      <c r="M28" s="74"/>
      <c r="N28" s="74"/>
      <c r="O28" s="46"/>
      <c r="P28" s="46"/>
      <c r="Q28" s="46"/>
      <c r="R28" s="46"/>
    </row>
    <row r="29" spans="1:18" ht="22" customHeight="1" x14ac:dyDescent="0.2">
      <c r="A29" s="111"/>
      <c r="B29" s="111"/>
      <c r="C29" s="111"/>
      <c r="D29" s="111"/>
      <c r="E29" s="111"/>
      <c r="F29" s="74"/>
      <c r="G29" s="74"/>
      <c r="H29" s="74"/>
      <c r="I29" s="74"/>
      <c r="J29" s="74"/>
      <c r="K29" s="74"/>
      <c r="L29" s="74"/>
      <c r="M29" s="74"/>
      <c r="N29" s="74"/>
      <c r="O29" s="46"/>
      <c r="P29" s="46"/>
      <c r="Q29" s="46"/>
      <c r="R29" s="46"/>
    </row>
    <row r="30" spans="1:18" ht="22" customHeight="1" x14ac:dyDescent="0.2">
      <c r="A30" s="111"/>
      <c r="B30" s="111"/>
      <c r="C30" s="111"/>
      <c r="D30" s="111"/>
      <c r="E30" s="111"/>
      <c r="F30" s="74"/>
      <c r="G30" s="74"/>
      <c r="H30" s="74"/>
      <c r="I30" s="74"/>
      <c r="J30" s="74"/>
      <c r="K30" s="74"/>
      <c r="L30" s="74"/>
      <c r="M30" s="74"/>
      <c r="N30" s="74"/>
      <c r="O30" s="46"/>
      <c r="P30" s="46"/>
      <c r="Q30" s="46"/>
      <c r="R30" s="46"/>
    </row>
    <row r="31" spans="1:18" x14ac:dyDescent="0.2">
      <c r="A31" s="46"/>
      <c r="B31" s="46"/>
      <c r="C31" s="46"/>
      <c r="D31" s="46"/>
      <c r="E31" s="46"/>
      <c r="F31" s="46"/>
      <c r="G31" s="46"/>
      <c r="H31" s="46"/>
      <c r="I31" s="46"/>
      <c r="J31" s="46"/>
      <c r="K31" s="46"/>
      <c r="L31" s="46"/>
      <c r="M31" s="46"/>
      <c r="N31" s="46"/>
      <c r="O31" s="46"/>
      <c r="P31" s="46"/>
      <c r="Q31" s="46"/>
      <c r="R31" s="46"/>
    </row>
    <row r="32" spans="1:18" x14ac:dyDescent="0.2">
      <c r="A32" s="46"/>
      <c r="B32" s="46"/>
      <c r="C32" s="46"/>
      <c r="D32" s="46"/>
      <c r="E32" s="46"/>
      <c r="F32" s="46"/>
      <c r="G32" s="46"/>
      <c r="H32" s="46"/>
      <c r="I32" s="46"/>
      <c r="J32" s="46"/>
      <c r="K32" s="46"/>
      <c r="L32" s="46"/>
      <c r="M32" s="46"/>
      <c r="N32" s="46"/>
      <c r="O32" s="46"/>
      <c r="P32" s="46"/>
      <c r="Q32" s="46"/>
      <c r="R32" s="46"/>
    </row>
    <row r="33" spans="1:18" x14ac:dyDescent="0.2">
      <c r="A33" s="74"/>
      <c r="B33" s="74"/>
      <c r="C33" s="74"/>
      <c r="D33" s="74"/>
      <c r="E33" s="74"/>
      <c r="F33" s="74"/>
      <c r="G33" s="74"/>
      <c r="H33" s="74"/>
      <c r="I33" s="74"/>
      <c r="J33" s="74"/>
      <c r="K33" s="74"/>
      <c r="L33" s="74"/>
      <c r="M33" s="74"/>
      <c r="N33" s="74"/>
      <c r="O33" s="74"/>
      <c r="P33" s="74"/>
      <c r="Q33" s="74"/>
      <c r="R33" s="74"/>
    </row>
    <row r="34" spans="1:18" x14ac:dyDescent="0.2">
      <c r="A34" s="74"/>
      <c r="B34" s="74"/>
      <c r="C34" s="74"/>
      <c r="D34" s="74"/>
      <c r="E34" s="74"/>
      <c r="F34" s="74"/>
      <c r="G34" s="74"/>
      <c r="H34" s="74"/>
      <c r="I34" s="74"/>
      <c r="J34" s="74"/>
      <c r="K34" s="74"/>
      <c r="L34" s="74"/>
      <c r="M34" s="74"/>
      <c r="N34" s="74"/>
      <c r="O34" s="74"/>
      <c r="P34" s="74"/>
      <c r="Q34" s="74"/>
      <c r="R34" s="74"/>
    </row>
    <row r="35" spans="1:18" x14ac:dyDescent="0.2">
      <c r="A35" s="74"/>
      <c r="B35" s="74"/>
      <c r="C35" s="74"/>
      <c r="D35" s="74"/>
      <c r="E35" s="74"/>
      <c r="F35" s="74"/>
      <c r="G35" s="74"/>
      <c r="H35" s="74"/>
      <c r="I35" s="74"/>
      <c r="J35" s="74"/>
      <c r="K35" s="74"/>
      <c r="L35" s="74"/>
      <c r="M35" s="74"/>
      <c r="N35" s="74"/>
      <c r="O35" s="74"/>
      <c r="P35" s="74"/>
      <c r="Q35" s="74"/>
      <c r="R35" s="74"/>
    </row>
    <row r="36" spans="1:18" x14ac:dyDescent="0.2">
      <c r="A36" s="74"/>
      <c r="B36" s="74"/>
      <c r="C36" s="74"/>
      <c r="D36" s="74"/>
      <c r="E36" s="74"/>
      <c r="F36" s="74"/>
      <c r="G36" s="74"/>
      <c r="H36" s="74"/>
      <c r="I36" s="74"/>
      <c r="J36" s="74"/>
      <c r="K36" s="74"/>
      <c r="L36" s="74"/>
      <c r="M36" s="74"/>
      <c r="N36" s="74"/>
      <c r="O36" s="74"/>
      <c r="P36" s="74"/>
      <c r="Q36" s="74"/>
      <c r="R36" s="74"/>
    </row>
    <row r="37" spans="1:18" x14ac:dyDescent="0.2">
      <c r="A37" s="74"/>
      <c r="B37" s="74"/>
      <c r="C37" s="74"/>
      <c r="D37" s="74"/>
      <c r="E37" s="74"/>
      <c r="F37" s="74"/>
      <c r="G37" s="74"/>
      <c r="H37" s="74"/>
      <c r="I37" s="74"/>
      <c r="J37" s="74"/>
      <c r="K37" s="74"/>
      <c r="L37" s="74"/>
      <c r="M37" s="74"/>
      <c r="N37" s="74"/>
      <c r="O37" s="74"/>
      <c r="P37" s="74"/>
      <c r="Q37" s="74"/>
      <c r="R37" s="74"/>
    </row>
    <row r="38" spans="1:18" x14ac:dyDescent="0.2">
      <c r="A38" s="74"/>
      <c r="B38" s="74"/>
      <c r="C38" s="74"/>
      <c r="D38" s="74"/>
      <c r="E38" s="74"/>
      <c r="F38" s="74"/>
      <c r="G38" s="74"/>
      <c r="H38" s="74"/>
      <c r="I38" s="74"/>
      <c r="J38" s="74"/>
      <c r="K38" s="74"/>
      <c r="L38" s="74"/>
      <c r="M38" s="74"/>
      <c r="N38" s="74"/>
      <c r="O38" s="74"/>
      <c r="P38" s="74"/>
      <c r="Q38" s="74"/>
      <c r="R38" s="74"/>
    </row>
    <row r="39" spans="1:18" x14ac:dyDescent="0.2">
      <c r="A39" s="74"/>
      <c r="B39" s="74"/>
      <c r="C39" s="74"/>
      <c r="D39" s="74"/>
      <c r="E39" s="74"/>
      <c r="F39" s="74"/>
      <c r="G39" s="74"/>
      <c r="H39" s="74"/>
      <c r="I39" s="74"/>
      <c r="J39" s="74"/>
      <c r="K39" s="74"/>
      <c r="L39" s="74"/>
      <c r="M39" s="74"/>
      <c r="N39" s="74"/>
      <c r="O39" s="74"/>
      <c r="P39" s="74"/>
      <c r="Q39" s="74"/>
      <c r="R39" s="74"/>
    </row>
    <row r="40" spans="1:18" x14ac:dyDescent="0.2">
      <c r="A40" s="74"/>
      <c r="B40" s="74"/>
      <c r="C40" s="74"/>
      <c r="D40" s="74"/>
      <c r="E40" s="74"/>
      <c r="F40" s="74"/>
      <c r="G40" s="74"/>
      <c r="H40" s="74"/>
      <c r="I40" s="74"/>
      <c r="J40" s="74"/>
      <c r="K40" s="74"/>
      <c r="L40" s="74"/>
      <c r="M40" s="74"/>
      <c r="N40" s="74"/>
      <c r="O40" s="74"/>
      <c r="P40" s="74"/>
      <c r="Q40" s="74"/>
      <c r="R40" s="74"/>
    </row>
    <row r="41" spans="1:18" x14ac:dyDescent="0.2">
      <c r="A41" s="74"/>
      <c r="B41" s="74"/>
      <c r="C41" s="74"/>
      <c r="D41" s="74"/>
      <c r="E41" s="74"/>
      <c r="F41" s="74"/>
      <c r="G41" s="74"/>
      <c r="H41" s="74"/>
      <c r="I41" s="74"/>
      <c r="J41" s="74"/>
      <c r="K41" s="74"/>
      <c r="L41" s="74"/>
      <c r="M41" s="74"/>
      <c r="N41" s="74"/>
      <c r="O41" s="74"/>
      <c r="P41" s="74"/>
      <c r="Q41" s="74"/>
      <c r="R41" s="74"/>
    </row>
    <row r="42" spans="1:18" x14ac:dyDescent="0.2">
      <c r="A42" s="74"/>
      <c r="B42" s="74"/>
      <c r="C42" s="74"/>
      <c r="D42" s="74"/>
      <c r="E42" s="74"/>
      <c r="F42" s="74"/>
      <c r="G42" s="74"/>
      <c r="H42" s="74"/>
      <c r="I42" s="74"/>
      <c r="J42" s="74"/>
      <c r="K42" s="74"/>
      <c r="L42" s="74"/>
      <c r="M42" s="74"/>
      <c r="N42" s="74"/>
      <c r="O42" s="74"/>
      <c r="P42" s="74"/>
      <c r="Q42" s="74"/>
      <c r="R42" s="74"/>
    </row>
    <row r="43" spans="1:18" x14ac:dyDescent="0.2">
      <c r="A43" s="74"/>
      <c r="B43" s="74"/>
      <c r="C43" s="74"/>
      <c r="D43" s="74"/>
      <c r="E43" s="74"/>
      <c r="F43" s="74"/>
      <c r="G43" s="74"/>
      <c r="H43" s="74"/>
      <c r="I43" s="74"/>
      <c r="J43" s="74"/>
      <c r="K43" s="74"/>
      <c r="L43" s="74"/>
      <c r="M43" s="74"/>
      <c r="N43" s="74"/>
      <c r="O43" s="74"/>
      <c r="P43" s="74"/>
      <c r="Q43" s="74"/>
      <c r="R43" s="74"/>
    </row>
    <row r="44" spans="1:18" x14ac:dyDescent="0.2">
      <c r="A44" s="74"/>
      <c r="B44" s="74"/>
      <c r="C44" s="74"/>
      <c r="D44" s="74"/>
      <c r="E44" s="74"/>
      <c r="F44" s="74"/>
      <c r="G44" s="74"/>
      <c r="H44" s="74"/>
      <c r="I44" s="74"/>
      <c r="J44" s="74"/>
      <c r="K44" s="74"/>
      <c r="L44" s="74"/>
      <c r="M44" s="74"/>
      <c r="N44" s="74"/>
      <c r="O44" s="74"/>
      <c r="P44" s="74"/>
      <c r="Q44" s="74"/>
      <c r="R44" s="74"/>
    </row>
    <row r="45" spans="1:18" x14ac:dyDescent="0.2">
      <c r="A45" s="74"/>
      <c r="B45" s="74"/>
      <c r="C45" s="74"/>
      <c r="D45" s="74"/>
      <c r="E45" s="74"/>
      <c r="F45" s="74"/>
      <c r="G45" s="74"/>
      <c r="H45" s="74"/>
      <c r="I45" s="74"/>
      <c r="J45" s="74"/>
      <c r="K45" s="74"/>
      <c r="L45" s="74"/>
      <c r="M45" s="74"/>
      <c r="N45" s="74"/>
      <c r="O45" s="74"/>
      <c r="P45" s="74"/>
      <c r="Q45" s="74"/>
      <c r="R45" s="74"/>
    </row>
    <row r="46" spans="1:18" x14ac:dyDescent="0.2">
      <c r="A46" s="74"/>
      <c r="B46" s="74"/>
      <c r="C46" s="74"/>
      <c r="D46" s="74"/>
      <c r="E46" s="74"/>
      <c r="F46" s="74"/>
      <c r="G46" s="74"/>
      <c r="H46" s="74"/>
      <c r="I46" s="74"/>
      <c r="J46" s="74"/>
      <c r="K46" s="74"/>
      <c r="L46" s="74"/>
      <c r="M46" s="74"/>
      <c r="N46" s="74"/>
      <c r="O46" s="74"/>
      <c r="P46" s="74"/>
      <c r="Q46" s="74"/>
      <c r="R46" s="74"/>
    </row>
    <row r="47" spans="1:18" x14ac:dyDescent="0.2">
      <c r="A47" s="74"/>
      <c r="B47" s="74"/>
      <c r="C47" s="74"/>
      <c r="D47" s="74"/>
      <c r="E47" s="74"/>
      <c r="F47" s="74"/>
      <c r="G47" s="74"/>
      <c r="H47" s="74"/>
      <c r="I47" s="74"/>
      <c r="J47" s="74"/>
      <c r="K47" s="74"/>
      <c r="L47" s="74"/>
      <c r="M47" s="74"/>
      <c r="N47" s="74"/>
      <c r="O47" s="74"/>
      <c r="P47" s="74"/>
      <c r="Q47" s="74"/>
      <c r="R47" s="74"/>
    </row>
    <row r="48" spans="1:18" x14ac:dyDescent="0.2">
      <c r="A48" s="74"/>
      <c r="B48" s="74"/>
      <c r="C48" s="74"/>
      <c r="D48" s="74"/>
      <c r="E48" s="74"/>
      <c r="F48" s="74"/>
      <c r="G48" s="74"/>
      <c r="H48" s="74"/>
      <c r="I48" s="74"/>
      <c r="J48" s="74"/>
      <c r="K48" s="74"/>
      <c r="L48" s="74"/>
      <c r="M48" s="74"/>
      <c r="N48" s="74"/>
      <c r="O48" s="74"/>
      <c r="P48" s="74"/>
      <c r="Q48" s="74"/>
      <c r="R48" s="74"/>
    </row>
    <row r="49" spans="1:18" x14ac:dyDescent="0.2">
      <c r="A49" s="74"/>
      <c r="B49" s="74"/>
      <c r="C49" s="74"/>
      <c r="D49" s="74"/>
      <c r="E49" s="74"/>
      <c r="F49" s="74"/>
      <c r="G49" s="74"/>
      <c r="H49" s="74"/>
      <c r="I49" s="74"/>
      <c r="J49" s="74"/>
      <c r="K49" s="74"/>
      <c r="L49" s="74"/>
      <c r="M49" s="74"/>
      <c r="N49" s="74"/>
      <c r="O49" s="74"/>
      <c r="P49" s="74"/>
      <c r="Q49" s="74"/>
      <c r="R49" s="74"/>
    </row>
    <row r="50" spans="1:18" x14ac:dyDescent="0.2">
      <c r="A50" s="74"/>
      <c r="B50" s="74"/>
      <c r="C50" s="74"/>
      <c r="D50" s="74"/>
      <c r="E50" s="74"/>
      <c r="F50" s="74"/>
      <c r="G50" s="74"/>
      <c r="H50" s="74"/>
      <c r="I50" s="74"/>
      <c r="J50" s="74"/>
      <c r="K50" s="74"/>
      <c r="L50" s="74"/>
      <c r="M50" s="74"/>
      <c r="N50" s="74"/>
      <c r="O50" s="74"/>
      <c r="P50" s="74"/>
      <c r="Q50" s="74"/>
      <c r="R50" s="74"/>
    </row>
    <row r="51" spans="1:18" x14ac:dyDescent="0.2">
      <c r="A51" s="74"/>
      <c r="B51" s="74"/>
      <c r="C51" s="74"/>
      <c r="D51" s="74"/>
      <c r="E51" s="74"/>
      <c r="F51" s="74"/>
      <c r="G51" s="74"/>
      <c r="H51" s="74"/>
      <c r="I51" s="74"/>
      <c r="J51" s="74"/>
      <c r="K51" s="74"/>
      <c r="L51" s="74"/>
      <c r="M51" s="74"/>
      <c r="N51" s="74"/>
      <c r="O51" s="74"/>
      <c r="P51" s="74"/>
      <c r="Q51" s="74"/>
      <c r="R51" s="74"/>
    </row>
    <row r="52" spans="1:18" x14ac:dyDescent="0.2">
      <c r="A52" s="74"/>
      <c r="B52" s="74"/>
      <c r="C52" s="74"/>
      <c r="D52" s="74"/>
      <c r="E52" s="74"/>
      <c r="F52" s="74"/>
      <c r="G52" s="74"/>
      <c r="H52" s="74"/>
      <c r="I52" s="74"/>
      <c r="J52" s="74"/>
      <c r="K52" s="74"/>
      <c r="L52" s="74"/>
      <c r="M52" s="74"/>
      <c r="N52" s="74"/>
      <c r="O52" s="74"/>
      <c r="P52" s="74"/>
      <c r="Q52" s="74"/>
      <c r="R52" s="74"/>
    </row>
    <row r="53" spans="1:18" x14ac:dyDescent="0.2">
      <c r="A53" s="74"/>
      <c r="B53" s="74"/>
      <c r="C53" s="74"/>
      <c r="D53" s="74"/>
      <c r="E53" s="74"/>
      <c r="F53" s="74"/>
      <c r="G53" s="74"/>
      <c r="H53" s="74"/>
      <c r="I53" s="74"/>
      <c r="J53" s="74"/>
      <c r="K53" s="74"/>
      <c r="L53" s="74"/>
      <c r="M53" s="74"/>
      <c r="N53" s="74"/>
      <c r="O53" s="74"/>
      <c r="P53" s="74"/>
      <c r="Q53" s="74"/>
      <c r="R53" s="74"/>
    </row>
    <row r="54" spans="1:18" x14ac:dyDescent="0.2">
      <c r="A54" s="74"/>
      <c r="B54" s="74"/>
      <c r="C54" s="74"/>
      <c r="D54" s="74"/>
      <c r="E54" s="74"/>
      <c r="F54" s="74"/>
      <c r="G54" s="74"/>
      <c r="H54" s="74"/>
      <c r="I54" s="74"/>
      <c r="J54" s="74"/>
      <c r="K54" s="74"/>
      <c r="L54" s="74"/>
      <c r="M54" s="74"/>
      <c r="N54" s="74"/>
      <c r="O54" s="74"/>
      <c r="P54" s="74"/>
      <c r="Q54" s="74"/>
      <c r="R54" s="74"/>
    </row>
    <row r="55" spans="1:18" x14ac:dyDescent="0.2">
      <c r="A55" s="74"/>
      <c r="B55" s="74"/>
      <c r="C55" s="74"/>
      <c r="D55" s="74"/>
      <c r="E55" s="74"/>
      <c r="F55" s="74"/>
      <c r="G55" s="74"/>
      <c r="H55" s="74"/>
      <c r="I55" s="74"/>
      <c r="J55" s="74"/>
      <c r="K55" s="74"/>
      <c r="L55" s="74"/>
      <c r="M55" s="74"/>
      <c r="N55" s="74"/>
      <c r="O55" s="74"/>
      <c r="P55" s="74"/>
      <c r="Q55" s="74"/>
      <c r="R55" s="74"/>
    </row>
    <row r="56" spans="1:18" x14ac:dyDescent="0.2">
      <c r="A56" s="74"/>
      <c r="B56" s="74"/>
      <c r="C56" s="74"/>
      <c r="D56" s="74"/>
      <c r="E56" s="74"/>
      <c r="F56" s="74"/>
      <c r="G56" s="74"/>
      <c r="H56" s="74"/>
      <c r="I56" s="74"/>
      <c r="J56" s="74"/>
      <c r="K56" s="74"/>
      <c r="L56" s="74"/>
      <c r="M56" s="74"/>
      <c r="N56" s="74"/>
      <c r="O56" s="74"/>
      <c r="P56" s="74"/>
      <c r="Q56" s="74"/>
      <c r="R56" s="74"/>
    </row>
    <row r="57" spans="1:18" x14ac:dyDescent="0.2">
      <c r="A57" s="74"/>
      <c r="B57" s="74"/>
      <c r="C57" s="74"/>
      <c r="D57" s="74"/>
      <c r="E57" s="74"/>
      <c r="F57" s="74"/>
      <c r="G57" s="74"/>
      <c r="H57" s="74"/>
      <c r="I57" s="74"/>
      <c r="J57" s="74"/>
      <c r="K57" s="74"/>
      <c r="L57" s="74"/>
      <c r="M57" s="74"/>
      <c r="N57" s="74"/>
      <c r="O57" s="74"/>
      <c r="P57" s="74"/>
      <c r="Q57" s="74"/>
      <c r="R57" s="74"/>
    </row>
    <row r="58" spans="1:18" x14ac:dyDescent="0.2">
      <c r="A58" s="74"/>
      <c r="B58" s="74"/>
      <c r="C58" s="74"/>
      <c r="D58" s="74"/>
      <c r="E58" s="74"/>
      <c r="F58" s="74"/>
      <c r="G58" s="74"/>
      <c r="H58" s="74"/>
      <c r="I58" s="74"/>
      <c r="J58" s="74"/>
      <c r="K58" s="74"/>
      <c r="L58" s="74"/>
      <c r="M58" s="74"/>
      <c r="N58" s="74"/>
      <c r="O58" s="74"/>
      <c r="P58" s="74"/>
      <c r="Q58" s="74"/>
      <c r="R58" s="74"/>
    </row>
    <row r="59" spans="1:18" x14ac:dyDescent="0.2">
      <c r="A59" s="74"/>
      <c r="B59" s="74"/>
      <c r="C59" s="74"/>
      <c r="D59" s="74"/>
      <c r="E59" s="74"/>
      <c r="F59" s="74"/>
      <c r="G59" s="74"/>
      <c r="H59" s="74"/>
      <c r="I59" s="74"/>
      <c r="J59" s="74"/>
      <c r="K59" s="74"/>
      <c r="L59" s="74"/>
      <c r="M59" s="74"/>
      <c r="N59" s="74"/>
      <c r="O59" s="74"/>
      <c r="P59" s="74"/>
      <c r="Q59" s="74"/>
      <c r="R59" s="74"/>
    </row>
    <row r="60" spans="1:18" x14ac:dyDescent="0.2">
      <c r="A60" s="74"/>
      <c r="B60" s="74"/>
      <c r="C60" s="74"/>
      <c r="D60" s="74"/>
      <c r="E60" s="74"/>
      <c r="F60" s="74"/>
      <c r="G60" s="74"/>
      <c r="H60" s="74"/>
      <c r="I60" s="74"/>
      <c r="J60" s="74"/>
      <c r="K60" s="74"/>
      <c r="L60" s="74"/>
      <c r="M60" s="74"/>
      <c r="N60" s="74"/>
      <c r="O60" s="74"/>
      <c r="P60" s="74"/>
      <c r="Q60" s="74"/>
      <c r="R60" s="74"/>
    </row>
    <row r="61" spans="1:18" x14ac:dyDescent="0.2">
      <c r="A61" s="74"/>
      <c r="B61" s="74"/>
      <c r="C61" s="74"/>
      <c r="D61" s="74"/>
      <c r="E61" s="74"/>
      <c r="F61" s="74"/>
      <c r="G61" s="74"/>
      <c r="H61" s="74"/>
      <c r="I61" s="74"/>
      <c r="J61" s="74"/>
      <c r="K61" s="74"/>
      <c r="L61" s="74"/>
      <c r="M61" s="74"/>
      <c r="N61" s="74"/>
      <c r="O61" s="74"/>
      <c r="P61" s="74"/>
      <c r="Q61" s="74"/>
      <c r="R61" s="74"/>
    </row>
    <row r="62" spans="1:18" x14ac:dyDescent="0.2">
      <c r="O62" s="46"/>
      <c r="P62" s="46"/>
      <c r="Q62" s="46"/>
      <c r="R62" s="46"/>
    </row>
    <row r="63" spans="1:18" x14ac:dyDescent="0.2">
      <c r="O63" s="46"/>
      <c r="P63" s="46"/>
    </row>
    <row r="64" spans="1:18"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DLO/explorer/revenue_proj" xr:uid="{BA1B0F00-ACBC-EF47-A06E-9216650512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2023-12-03T14:31:54Z</dcterms:modified>
</cp:coreProperties>
</file>