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Energy/"/>
    </mc:Choice>
  </mc:AlternateContent>
  <xr:revisionPtr revIDLastSave="0" documentId="13_ncr:1_{C213CD76-846A-BA45-B197-6D233D440D4E}"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1" l="1"/>
  <c r="E22" i="1" l="1"/>
  <c r="D22" i="1"/>
  <c r="C22" i="1"/>
  <c r="E25" i="1" l="1"/>
  <c r="D25" i="1"/>
  <c r="C25" i="1"/>
  <c r="B14" i="1"/>
  <c r="C14" i="1"/>
  <c r="D14" i="1"/>
  <c r="E14" i="1"/>
  <c r="E3" i="1" s="1"/>
  <c r="E13" i="1"/>
  <c r="D13" i="1"/>
  <c r="C13" i="1"/>
  <c r="A6" i="1" a="1"/>
  <c r="A6" i="1" s="1"/>
  <c r="G6" i="1"/>
  <c r="A30" i="1" a="1"/>
  <c r="A30" i="1" s="1"/>
  <c r="D28" i="1" a="1"/>
  <c r="D28" i="1" s="1"/>
  <c r="A28" i="1" a="1"/>
  <c r="A28"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l="1"/>
  <c r="E23" i="1"/>
  <c r="K3" i="1" s="1"/>
  <c r="D23" i="1"/>
  <c r="B23" i="1"/>
  <c r="C23" i="1"/>
  <c r="K25" i="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<sst xmlns="http://schemas.openxmlformats.org/spreadsheetml/2006/main" count="39" uniqueCount="35">
  <si>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</si>
  <si>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</si>
  <si>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</si>
  <si>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</si>
  <si>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</si>
  <si>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</si>
  <si>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</si>
  <si>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</si>
  <si>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</si>
  <si>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</si>
  <si>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</si>
  <si>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</si>
  <si>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</si>
  <si>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</si>
  <si>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</si>
  <si>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</si>
  <si>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</si>
  <si>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</si>
  <si>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</si>
  <si>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</si>
  <si>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</si>
  <si>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</si>
  <si>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</si>
  <si>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</si>
  <si>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</si>
  <si>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</si>
  <si>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</si>
  <si>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</si>
  <si>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</si>
  <si>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</si>
  <si>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</si>
  <si>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</si>
  <si>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11/10/2024</t>
  </si>
  <si>
    <t>Dividend Yield</t>
  </si>
  <si>
    <t>Dividends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</si>
</sst>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21">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2" tint="-0.249977111117893"/>
      </right>
      <top style="thin">
        <color theme="2" tint="-0.249977111117893"/>
      </top>
      <bottom/>
      <diagonal/>
    </border>
    <border>
      <left/>
      <right style="thin">
        <color theme="2" tint="-0.249977111117893"/>
      </right>
      <top/>
      <bottom/>
      <diagonal/>
    </border>
    <border>
      <left/>
      <right style="thin">
        <color theme="2" tint="-0.249977111117893"/>
      </right>
      <top/>
      <bottom style="thin">
        <color theme="2" tint="-0.249977111117893"/>
      </bottom>
      <diagonal/>
    </border>
    <border>
      <left style="thin">
        <color theme="0" tint="-0.249977111117893"/>
      </left>
      <right/>
      <top style="thin">
        <color theme="2" tint="-0.249977111117893"/>
      </top>
      <bottom style="thin">
        <color theme="2" tint="-0.249977111117893"/>
      </bottom>
      <diagonal/>
    </border>
    <border>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style="thin">
        <color theme="2" tint="-0.249977111117893"/>
      </right>
      <top/>
      <bottom style="thin">
        <color theme="0"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style="thin">
        <color theme="2" tint="-0.249977111117893"/>
      </right>
      <top style="thin">
        <color theme="0" tint="-0.249977111117893"/>
      </top>
      <bottom/>
      <diagonal/>
    </border>
    <border>
      <left style="thin">
        <color theme="2" tint="-0.249977111117893"/>
      </left>
      <right style="thin">
        <color theme="2" tint="-0.249977111117893"/>
      </right>
      <top style="thin">
        <color theme="2" tint="-0.249977111117893"/>
      </top>
      <bottom style="thin">
        <color theme="2" tint="-0.249977111117893"/>
      </bottom>
      <diagonal/>
    </border>
  </borders>
  <cellStyleXfs count="2">
    <xf numFmtId="0" fontId="0" fillId="0" borderId="0"/>
    <xf numFmtId="9" fontId="1" fillId="0" borderId="0" applyFont="0" applyFill="0" applyBorder="0" applyAlignment="0" applyProtection="0"/>
  </cellStyleXfs>
  <cellXfs count="92">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0" xfId="1" applyFont="1" applyFill="1" applyBorder="1" applyAlignment="1">
      <alignment horizontal="left" vertical="center" indent="2"/>
    </xf>
    <xf numFmtId="164" fontId="2" fillId="3" borderId="9"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9" xfId="1" applyFont="1" applyFill="1" applyBorder="1" applyAlignment="1">
      <alignment horizontal="left" vertical="center" indent="2"/>
    </xf>
    <xf numFmtId="9" fontId="2" fillId="2" borderId="9"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9" xfId="0" applyFont="1" applyFill="1" applyBorder="1" applyAlignment="1">
      <alignment horizontal="left" vertical="center" indent="1"/>
    </xf>
    <xf numFmtId="10" fontId="2" fillId="2" borderId="9"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9" xfId="0" applyFont="1" applyFill="1" applyBorder="1" applyAlignment="1">
      <alignment horizontal="left" vertical="center" indent="2"/>
    </xf>
    <xf numFmtId="10" fontId="3" fillId="2" borderId="9"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0" fontId="3" fillId="4" borderId="1" xfId="0" applyFont="1" applyFill="1" applyBorder="1"/>
    <xf numFmtId="0" fontId="9" fillId="2" borderId="1" xfId="0" applyFont="1" applyFill="1" applyBorder="1" applyAlignment="1">
      <alignment vertical="center"/>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9" xfId="0" applyNumberFormat="1" applyFont="1" applyFill="1" applyBorder="1" applyAlignment="1">
      <alignment horizontal="right" vertical="center" indent="1"/>
    </xf>
    <xf numFmtId="164" fontId="11" fillId="3" borderId="8"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8" xfId="0" applyNumberFormat="1" applyFont="1" applyFill="1" applyBorder="1" applyAlignment="1">
      <alignment horizontal="center" vertical="center"/>
    </xf>
    <xf numFmtId="9" fontId="2" fillId="2" borderId="8"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8" xfId="1" applyNumberFormat="1" applyFont="1" applyFill="1" applyBorder="1" applyAlignment="1">
      <alignment horizontal="center" vertical="center"/>
    </xf>
    <xf numFmtId="10" fontId="2" fillId="2" borderId="8" xfId="1" applyNumberFormat="1" applyFont="1" applyFill="1" applyBorder="1" applyAlignment="1">
      <alignment horizontal="center" vertical="center"/>
    </xf>
    <xf numFmtId="10" fontId="2" fillId="5" borderId="11" xfId="1" applyNumberFormat="1" applyFont="1" applyFill="1" applyBorder="1" applyAlignment="1">
      <alignment horizontal="right" vertical="center" indent="1"/>
    </xf>
    <xf numFmtId="9" fontId="3" fillId="3" borderId="11" xfId="1" applyFont="1" applyFill="1" applyBorder="1" applyAlignment="1">
      <alignment horizontal="left" vertical="center" indent="1"/>
    </xf>
    <xf numFmtId="165" fontId="2" fillId="7" borderId="12" xfId="1" applyNumberFormat="1" applyFont="1" applyFill="1" applyBorder="1" applyAlignment="1">
      <alignment horizontal="right" vertical="center" indent="1"/>
    </xf>
    <xf numFmtId="9" fontId="3" fillId="3" borderId="12" xfId="1" applyFont="1" applyFill="1" applyBorder="1" applyAlignment="1">
      <alignment horizontal="left" vertical="center" indent="1"/>
    </xf>
    <xf numFmtId="166" fontId="5" fillId="6" borderId="12" xfId="0" applyNumberFormat="1" applyFont="1" applyFill="1" applyBorder="1" applyAlignment="1">
      <alignment horizontal="right" vertical="center" indent="1"/>
    </xf>
    <xf numFmtId="9" fontId="5" fillId="6" borderId="13" xfId="1" applyFont="1" applyFill="1" applyBorder="1" applyAlignment="1">
      <alignment horizontal="right" vertical="center" indent="1"/>
    </xf>
    <xf numFmtId="9" fontId="3" fillId="3" borderId="13" xfId="1" applyFont="1" applyFill="1" applyBorder="1" applyAlignment="1">
      <alignment horizontal="left" vertical="center" indent="1"/>
    </xf>
    <xf numFmtId="9" fontId="4" fillId="3" borderId="14" xfId="1" applyFont="1" applyFill="1" applyBorder="1" applyAlignment="1">
      <alignment horizontal="left" vertical="center" indent="2"/>
    </xf>
    <xf numFmtId="164" fontId="2" fillId="3" borderId="15" xfId="0" applyNumberFormat="1" applyFont="1" applyFill="1" applyBorder="1" applyAlignment="1">
      <alignment horizontal="right" vertical="center" indent="1"/>
    </xf>
    <xf numFmtId="164" fontId="2" fillId="3" borderId="16" xfId="0" applyNumberFormat="1" applyFont="1" applyFill="1" applyBorder="1" applyAlignment="1">
      <alignment horizontal="right" vertical="center" indent="1"/>
    </xf>
    <xf numFmtId="164" fontId="11" fillId="3" borderId="17" xfId="0" applyNumberFormat="1" applyFont="1" applyFill="1" applyBorder="1" applyAlignment="1">
      <alignment horizontal="center" vertical="center"/>
    </xf>
    <xf numFmtId="0" fontId="7" fillId="2" borderId="18" xfId="0" applyFont="1" applyFill="1" applyBorder="1" applyAlignment="1">
      <alignment horizontal="left" vertical="center" indent="1"/>
    </xf>
    <xf numFmtId="9" fontId="2" fillId="2" borderId="15" xfId="1" applyFont="1" applyFill="1" applyBorder="1" applyAlignment="1">
      <alignment horizontal="right" vertical="center" indent="1"/>
    </xf>
    <xf numFmtId="10" fontId="2" fillId="2" borderId="15" xfId="1" applyNumberFormat="1" applyFont="1" applyFill="1" applyBorder="1" applyAlignment="1">
      <alignment horizontal="right" vertical="center" indent="1"/>
    </xf>
    <xf numFmtId="10" fontId="2" fillId="2" borderId="16" xfId="1" applyNumberFormat="1" applyFont="1" applyFill="1" applyBorder="1" applyAlignment="1">
      <alignment horizontal="right" vertical="center" indent="1"/>
    </xf>
    <xf numFmtId="9" fontId="2" fillId="2" borderId="19" xfId="1" applyFont="1" applyFill="1" applyBorder="1" applyAlignment="1">
      <alignment horizontal="center" vertical="center"/>
    </xf>
    <xf numFmtId="0" fontId="3" fillId="2" borderId="18" xfId="0" applyFont="1" applyFill="1" applyBorder="1" applyAlignment="1">
      <alignment horizontal="left" vertical="center" indent="2"/>
    </xf>
    <xf numFmtId="10" fontId="3" fillId="2" borderId="15" xfId="1" applyNumberFormat="1" applyFont="1" applyFill="1" applyBorder="1" applyAlignment="1">
      <alignment horizontal="right" vertical="center" indent="1"/>
    </xf>
    <xf numFmtId="10" fontId="3" fillId="2" borderId="18" xfId="1" applyNumberFormat="1" applyFont="1" applyFill="1" applyBorder="1" applyAlignment="1">
      <alignment horizontal="right" vertical="center" indent="1"/>
    </xf>
    <xf numFmtId="10" fontId="3" fillId="2" borderId="16" xfId="1" applyNumberFormat="1" applyFont="1" applyFill="1" applyBorder="1" applyAlignment="1">
      <alignment horizontal="right" vertical="center" indent="1"/>
    </xf>
    <xf numFmtId="10" fontId="3" fillId="2" borderId="20"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2207</c:v>
                </c:pt>
                <c:pt idx="8">
                  <c:v>2028</c:v>
                </c:pt>
              </c:numCache>
            </c:numRef>
          </c:cat>
          <c:val>
            <c:numRef>
              <c:f>'DCF Model'!$B$10:$J$10</c:f>
              <c:numCache>
                <c:formatCode>#,###,,;\(#,###,,\);\ \-\ \-</c:formatCode>
                <c:ptCount val="9"/>
                <c:pt idx="0">
                  <c:v>11443000000</c:v>
                </c:pt>
                <c:pt idx="1">
                  <c:v>12077000000</c:v>
                </c:pt>
                <c:pt idx="2">
                  <c:v>13728000000</c:v>
                </c:pt>
                <c:pt idx="3">
                  <c:v>14779000000</c:v>
                </c:pt>
                <c:pt idx="4">
                  <c:v>16615000000</c:v>
                </c:pt>
                <c:pt idx="5">
                  <c:v>18746000000</c:v>
                </c:pt>
                <c:pt idx="6">
                  <c:v>19960000000</c:v>
                </c:pt>
                <c:pt idx="7">
                  <c:v>22270000000</c:v>
                </c:pt>
                <c:pt idx="8">
                  <c:v>24310000000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2207</c:v>
                </c:pt>
                <c:pt idx="8">
                  <c:v>2028</c:v>
                </c:pt>
              </c:numCache>
            </c:numRef>
          </c:cat>
          <c:val>
            <c:numRef>
              <c:f>'DCF Model'!$B$15:$J$15</c:f>
              <c:numCache>
                <c:formatCode>#,###,,;\(#,###,,\);\ \-\ \-</c:formatCode>
                <c:ptCount val="9"/>
                <c:pt idx="0">
                  <c:v>636000000</c:v>
                </c:pt>
                <c:pt idx="1">
                  <c:v>-1249000000</c:v>
                </c:pt>
                <c:pt idx="2">
                  <c:v>-1377000000</c:v>
                </c:pt>
                <c:pt idx="3">
                  <c:v>1343000000</c:v>
                </c:pt>
                <c:pt idx="4">
                  <c:v>1950000000</c:v>
                </c:pt>
                <c:pt idx="5">
                  <c:v>2552000000</c:v>
                </c:pt>
                <c:pt idx="6">
                  <c:v>2900000000</c:v>
                </c:pt>
                <c:pt idx="7">
                  <c:v>3166000000</c:v>
                </c:pt>
                <c:pt idx="8">
                  <c:v>3600000000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2207</c:v>
                </c:pt>
                <c:pt idx="8">
                  <c:v>2028</c:v>
                </c:pt>
              </c:numCache>
            </c:numRef>
          </c:cat>
          <c:val>
            <c:numRef>
              <c:f>'DCF Model'!$B$18:$J$18</c:f>
              <c:numCache>
                <c:formatCode>#,###,,;\(#,###,,\);\ \-\ \-</c:formatCode>
                <c:ptCount val="9"/>
                <c:pt idx="0">
                  <c:v>2050000000</c:v>
                </c:pt>
                <c:pt idx="1">
                  <c:v>-671000000</c:v>
                </c:pt>
                <c:pt idx="2">
                  <c:v>-487000000</c:v>
                </c:pt>
                <c:pt idx="3">
                  <c:v>3069000000</c:v>
                </c:pt>
                <c:pt idx="4">
                  <c:v>2078000000</c:v>
                </c:pt>
                <c:pt idx="5">
                  <c:v>2800000000</c:v>
                </c:pt>
                <c:pt idx="6">
                  <c:v>3400000000</c:v>
                </c:pt>
                <c:pt idx="7">
                  <c:v>3710000000</c:v>
                </c:pt>
                <c:pt idx="8">
                  <c:v>4324000000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323850</xdr:colOff>
      <xdr:row>25</xdr:row>
      <xdr:rowOff>158750</xdr:rowOff>
    </xdr:from>
    <xdr:to>
      <xdr:col>10</xdr:col>
      <xdr:colOff>990600</xdr:colOff>
      <xdr:row>38</xdr:row>
      <xdr:rowOff>38100</xdr:rowOff>
    </xdr:to>
    <xdr:graphicFrame macro="">
      <xdr:nvGraphicFramePr>
        <xdr:cNvPr id="2" name="Chart 1">
          <a:extLst>
            <a:ext uri="{FF2B5EF4-FFF2-40B4-BE49-F238E27FC236}">
              <a16:creationId xmlns:a16="http://schemas.microsoft.com/office/drawing/2014/main" id="{0E1DA169-9867-D87B-F48F-1D01EC264A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https://www.bing.com/financeapi/forcetrigger?t=a25l52&amp;q=XNYS%3aVST&amp;form=skydnc</v>
    <v>Learn more on Bing</v>
  </rv>
  <rv s="1">
    <v>0</v>
    <v>VISTRA CORP. (XNYS:VST)</v>
    <v>2</v>
    <v>3</v>
    <v>Finance</v>
    <v>4</v>
    <v>en-US</v>
    <v>a25l52</v>
    <v>268435456</v>
    <v>1</v>
    <v>Powered by Refinitiv</v>
    <v>144.77000000000001</v>
    <v>34.234999999999999</v>
    <v>1.1359999999999999</v>
    <v>6.17</v>
    <v>4.5457999999999998E-2</v>
    <v>1.6</v>
    <v>1.1276E-2</v>
    <v>USD</v>
    <v>Vistra Corp. is an integrated retail and electric power generation company. The Company operates in six business segments: Retail, Texas, East, West, Sunset and Asset Closure. The Retail segment represents its retail sales of electricity and natural gas to residential, small business and commercial and industrial customers. The Texas and East segments are engaged in electricity generation, wholesale energy sales and purchases, commodity risk management activities, fuel production and fuel logistics management. The East segment includes operations in the PJM, ISO-NE and NYISO markets. The West segment represents results from the CAISO market, including its battery ESS projects at its Moss Landing power plant site. The Sunset segment represents generation plants with announced retirement plans. The Asset Closure segment is engaged in the decommissioning and reclamation of retired plants and mines. The Company operates in approximately 41,000 megawatts of installed generation capacity.</v>
    <v>4870</v>
    <v>New York Stock Exchange</v>
    <v>XNYS</v>
    <v>XNYS</v>
    <v>6555 Sierra Drive, IRVING, TX, 75039 US</v>
    <v>144.77000000000001</v>
    <v>Electrical Utilities &amp; IPPs</v>
    <v>Stock</v>
    <v>45605.041653344531</v>
    <v>0</v>
    <v>135.24</v>
    <v>48751360000</v>
    <v>VISTRA CORP.</v>
    <v>VISTRA CORP.</v>
    <v>135.24</v>
    <v>110.6088</v>
    <v>135.72999999999999</v>
    <v>141.9</v>
    <v>143.5</v>
    <v>343561400</v>
    <v>VST</v>
    <v>VISTRA CORP. (XNYS:VST)</v>
    <v>9826064</v>
    <v>7738813</v>
    <v>2016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VST/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4"/>
  <sheetViews>
    <sheetView tabSelected="1" workbookViewId="0">
      <selection activeCell="E7" sqref="E7"/>
    </sheetView>
  </sheetViews>
  <sheetFormatPr baseColWidth="10" defaultRowHeight="16" x14ac:dyDescent="0.2"/>
  <cols>
    <col min="1" max="1" width="19" style="3" customWidth="1"/>
    <col min="2" max="17" width="18.83203125" style="3" customWidth="1"/>
    <col min="18" max="18" width="19" style="3" customWidth="1"/>
  </cols>
  <sheetData>
    <row r="1" spans="1:18" s="14" customFormat="1" ht="22" customHeight="1" x14ac:dyDescent="0.2">
      <c r="A1" s="85" t="e" vm="1">
        <v>#VALUE!</v>
      </c>
      <c r="B1" s="85"/>
      <c r="C1" s="85"/>
      <c r="D1" s="85"/>
    </row>
    <row r="2" spans="1:18" s="14" customFormat="1" ht="22" customHeight="1" x14ac:dyDescent="0.2">
      <c r="A2" s="86"/>
      <c r="B2" s="86"/>
      <c r="C2" s="86"/>
      <c r="D2" s="86"/>
      <c r="E2" s="46"/>
      <c r="F2" s="46"/>
      <c r="G2" s="46"/>
      <c r="H2" s="46"/>
      <c r="I2" s="46"/>
      <c r="J2" s="46"/>
    </row>
    <row r="3" spans="1:18" ht="22" customHeight="1" x14ac:dyDescent="0.2">
      <c r="A3" s="35" cm="1">
        <f t="array" aca="1" ref="A3" ca="1">_FV(A1,"Price")</f>
        <v>141.9</v>
      </c>
      <c r="B3" s="6" t="s">
        <v>22</v>
      </c>
      <c r="C3" s="39">
        <f ca="1">A5/F10</f>
        <v>2.9341775504062593</v>
      </c>
      <c r="D3" s="9" t="s">
        <v>26</v>
      </c>
      <c r="E3" s="42">
        <f>E14</f>
        <v>0.37350294336558632</v>
      </c>
      <c r="F3" s="9" t="s">
        <v>1</v>
      </c>
      <c r="G3" s="43" cm="1">
        <f t="array" aca="1" ref="G3" ca="1">_FV(A1,"Shares outstanding",TRUE)*(1+(5*C6))</f>
        <v>177527988.82139811</v>
      </c>
      <c r="H3" s="12" t="s">
        <v>4</v>
      </c>
      <c r="I3" s="43">
        <f>J18*(1+K4)/(I6-K4)</f>
        <v>59094666666.666656</v>
      </c>
      <c r="J3" s="9" t="s">
        <v>2</v>
      </c>
      <c r="K3" s="64">
        <f ca="1">E23</f>
        <v>9.497170950718092E-3</v>
      </c>
      <c r="L3" s="65" t="s">
        <v>33</v>
      </c>
      <c r="M3" s="2"/>
      <c r="N3" s="2"/>
      <c r="O3" s="1"/>
      <c r="P3" s="1"/>
      <c r="Q3" s="1"/>
      <c r="R3" s="1"/>
    </row>
    <row r="4" spans="1:18" ht="22" customHeight="1" x14ac:dyDescent="0.2">
      <c r="A4" s="36" cm="1">
        <f t="array" aca="1" ref="A4" ca="1">_FV(A1,"Change (%)",TRUE)</f>
        <v>4.5457999999999998E-2</v>
      </c>
      <c r="B4" s="7" t="s">
        <v>23</v>
      </c>
      <c r="C4" s="39">
        <f ca="1">A5/F15</f>
        <v>25.000697435897436</v>
      </c>
      <c r="D4" s="9" t="s">
        <v>25</v>
      </c>
      <c r="E4" s="42">
        <f>F17</f>
        <v>0.1173638278663858</v>
      </c>
      <c r="F4" s="9" t="s">
        <v>6</v>
      </c>
      <c r="G4" s="49">
        <v>3538000000</v>
      </c>
      <c r="H4" s="12" t="s">
        <v>28</v>
      </c>
      <c r="I4" s="43">
        <f>NPV(I6,F18,G18,H18,I18,(J18+I3))</f>
        <v>48669593151.651733</v>
      </c>
      <c r="J4" s="12" t="s">
        <v>5</v>
      </c>
      <c r="K4" s="66">
        <v>2.5000000000000001E-2</v>
      </c>
      <c r="L4" s="67" t="s">
        <v>29</v>
      </c>
      <c r="M4" s="2"/>
      <c r="N4" s="2"/>
      <c r="O4" s="1"/>
      <c r="P4" s="1"/>
      <c r="Q4" s="1"/>
      <c r="R4" s="1"/>
    </row>
    <row r="5" spans="1:18" ht="22" customHeight="1" x14ac:dyDescent="0.2">
      <c r="A5" s="37" cm="1">
        <f t="array" aca="1" ref="A5" ca="1">_FV(A1,"Market cap",TRUE)</f>
        <v>48751360000</v>
      </c>
      <c r="B5" s="7" t="s">
        <v>0</v>
      </c>
      <c r="C5" s="40">
        <f ca="1">F18/A5</f>
        <v>4.2624451912726125E-2</v>
      </c>
      <c r="D5" s="9" t="s">
        <v>24</v>
      </c>
      <c r="E5" s="42">
        <f>F20</f>
        <v>0.12506770990069216</v>
      </c>
      <c r="F5" s="9" t="s">
        <v>8</v>
      </c>
      <c r="G5" s="49">
        <v>14741000000</v>
      </c>
      <c r="H5" s="12" t="s">
        <v>9</v>
      </c>
      <c r="I5" s="43">
        <f>I4+G4-G5</f>
        <v>37466593151.651733</v>
      </c>
      <c r="J5" s="12" t="s">
        <v>7</v>
      </c>
      <c r="K5" s="68">
        <f ca="1">I5/G3</f>
        <v>211.04611954650693</v>
      </c>
      <c r="L5" s="67" t="s">
        <v>11</v>
      </c>
      <c r="M5" s="2"/>
      <c r="N5" s="2"/>
      <c r="O5" s="1"/>
      <c r="P5" s="1"/>
      <c r="Q5" s="1"/>
      <c r="R5" s="1"/>
    </row>
    <row r="6" spans="1:18" ht="22" customHeight="1" x14ac:dyDescent="0.2">
      <c r="A6" s="38" cm="1">
        <f t="array" aca="1" ref="A6" ca="1">_FV(A1,"Beta")</f>
        <v>1.1359999999999999</v>
      </c>
      <c r="B6" s="8" t="s">
        <v>18</v>
      </c>
      <c r="C6" s="41">
        <f>K25</f>
        <v>-9.6654287227029512E-2</v>
      </c>
      <c r="D6" s="10" t="s">
        <v>27</v>
      </c>
      <c r="E6" s="48">
        <v>0.104</v>
      </c>
      <c r="F6" s="11" t="s">
        <v>12</v>
      </c>
      <c r="G6" s="44">
        <f>G4-G5</f>
        <v>-11203000000</v>
      </c>
      <c r="H6" s="11" t="s">
        <v>3</v>
      </c>
      <c r="I6" s="47">
        <v>0.1</v>
      </c>
      <c r="J6" s="10" t="s">
        <v>10</v>
      </c>
      <c r="K6" s="69">
        <f ca="1">K5/A3-1</f>
        <v>0.48728766417552438</v>
      </c>
      <c r="L6" s="70"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90" t="s">
        <v>32</v>
      </c>
      <c r="B8" s="91"/>
      <c r="C8" s="45"/>
      <c r="D8" s="45"/>
      <c r="E8" s="45"/>
      <c r="F8" s="45"/>
      <c r="G8" s="45"/>
      <c r="H8" s="45"/>
      <c r="I8" s="45"/>
      <c r="J8" s="13"/>
      <c r="K8" s="2"/>
      <c r="L8" s="2"/>
      <c r="M8" s="2"/>
      <c r="N8" s="2"/>
      <c r="O8" s="1"/>
      <c r="P8" s="1"/>
      <c r="Q8" s="1"/>
      <c r="R8" s="1"/>
    </row>
    <row r="9" spans="1:18" ht="22" customHeight="1" x14ac:dyDescent="0.2">
      <c r="A9" s="50"/>
      <c r="B9" s="51">
        <v>2020</v>
      </c>
      <c r="C9" s="51">
        <v>2021</v>
      </c>
      <c r="D9" s="51">
        <v>2022</v>
      </c>
      <c r="E9" s="52">
        <v>2023</v>
      </c>
      <c r="F9" s="53">
        <v>2024</v>
      </c>
      <c r="G9" s="53">
        <v>2025</v>
      </c>
      <c r="H9" s="53">
        <v>2026</v>
      </c>
      <c r="I9" s="53">
        <v>2207</v>
      </c>
      <c r="J9" s="54">
        <v>2028</v>
      </c>
      <c r="K9" s="13"/>
      <c r="L9" s="2"/>
      <c r="M9" s="2"/>
      <c r="N9" s="2"/>
      <c r="O9" s="1"/>
      <c r="P9" s="1"/>
      <c r="Q9" s="1"/>
      <c r="R9" s="1"/>
    </row>
    <row r="10" spans="1:18" ht="22" customHeight="1" x14ac:dyDescent="0.2">
      <c r="A10" s="20" t="s">
        <v>14</v>
      </c>
      <c r="B10" s="21">
        <v>11443000000</v>
      </c>
      <c r="C10" s="21">
        <v>12077000000</v>
      </c>
      <c r="D10" s="21">
        <v>13728000000</v>
      </c>
      <c r="E10" s="22">
        <v>14779000000</v>
      </c>
      <c r="F10" s="55">
        <v>16615000000</v>
      </c>
      <c r="G10" s="55">
        <v>18746000000</v>
      </c>
      <c r="H10" s="55">
        <v>19960000000</v>
      </c>
      <c r="I10" s="55">
        <v>22270000000</v>
      </c>
      <c r="J10" s="55">
        <v>24310000000</v>
      </c>
      <c r="K10" s="56" t="s">
        <v>19</v>
      </c>
      <c r="L10" s="2"/>
      <c r="M10" s="2"/>
      <c r="N10" s="2"/>
      <c r="O10" s="1"/>
      <c r="P10" s="1"/>
      <c r="Q10" s="1"/>
      <c r="R10" s="1"/>
    </row>
    <row r="11" spans="1:18" ht="22" customHeight="1" x14ac:dyDescent="0.2">
      <c r="A11" s="16"/>
      <c r="B11" s="17"/>
      <c r="C11" s="17">
        <f t="shared" ref="C11:J11" si="0">(C10/B10)-1</f>
        <v>5.5405051122957349E-2</v>
      </c>
      <c r="D11" s="17">
        <f t="shared" si="0"/>
        <v>0.13670613562970946</v>
      </c>
      <c r="E11" s="23">
        <f t="shared" si="0"/>
        <v>7.655885780885785E-2</v>
      </c>
      <c r="F11" s="17">
        <f t="shared" si="0"/>
        <v>0.12423032681507551</v>
      </c>
      <c r="G11" s="17">
        <f t="shared" si="0"/>
        <v>0.1282575985555221</v>
      </c>
      <c r="H11" s="17">
        <f t="shared" si="0"/>
        <v>6.4760482236210448E-2</v>
      </c>
      <c r="I11" s="17">
        <f t="shared" si="0"/>
        <v>0.11573146292585168</v>
      </c>
      <c r="J11" s="23">
        <f t="shared" si="0"/>
        <v>9.1603053435114434E-2</v>
      </c>
      <c r="K11" s="57">
        <f>AVERAGE(F11:J11)</f>
        <v>0.10491658479355484</v>
      </c>
      <c r="L11" s="2"/>
      <c r="M11" s="2"/>
      <c r="N11" s="2"/>
      <c r="O11" s="1"/>
      <c r="P11" s="1"/>
      <c r="Q11" s="1"/>
      <c r="R11" s="1"/>
    </row>
    <row r="12" spans="1:18" ht="22" customHeight="1" x14ac:dyDescent="0.2">
      <c r="A12" s="20" t="s">
        <v>30</v>
      </c>
      <c r="B12" s="21">
        <v>4647000000</v>
      </c>
      <c r="C12" s="21">
        <v>1349000000</v>
      </c>
      <c r="D12" s="21">
        <v>1682000000</v>
      </c>
      <c r="E12" s="22">
        <v>5520000000</v>
      </c>
      <c r="F12" s="21"/>
      <c r="G12" s="21"/>
      <c r="H12" s="21"/>
      <c r="I12" s="21"/>
      <c r="J12" s="22"/>
      <c r="K12" s="58"/>
      <c r="L12" s="2"/>
      <c r="M12" s="2"/>
      <c r="N12" s="2"/>
      <c r="O12" s="1"/>
      <c r="P12" s="1"/>
      <c r="Q12" s="1"/>
      <c r="R12" s="1"/>
    </row>
    <row r="13" spans="1:18" ht="22" customHeight="1" x14ac:dyDescent="0.2">
      <c r="A13" s="26"/>
      <c r="B13" s="27"/>
      <c r="C13" s="27">
        <f>(C12/B12)-1</f>
        <v>-0.70970518614159672</v>
      </c>
      <c r="D13" s="27">
        <f>(D12/C12)-1</f>
        <v>0.24684951816160128</v>
      </c>
      <c r="E13" s="28">
        <f>(E12/D12)-1</f>
        <v>2.2818073721759808</v>
      </c>
      <c r="F13" s="27"/>
      <c r="G13" s="27"/>
      <c r="H13" s="27"/>
      <c r="I13" s="27"/>
      <c r="J13" s="28"/>
      <c r="K13" s="59"/>
      <c r="L13" s="2"/>
      <c r="M13" s="2"/>
      <c r="N13" s="2"/>
      <c r="O13" s="1"/>
      <c r="P13" s="1"/>
      <c r="Q13" s="1"/>
      <c r="R13" s="1"/>
    </row>
    <row r="14" spans="1:18" ht="22" customHeight="1" x14ac:dyDescent="0.2">
      <c r="A14" s="18" t="s">
        <v>1</v>
      </c>
      <c r="B14" s="19">
        <f>B12/B10</f>
        <v>0.40609979900375776</v>
      </c>
      <c r="C14" s="19">
        <f>C12/C10</f>
        <v>0.11169992547818167</v>
      </c>
      <c r="D14" s="19">
        <f>D12/D10</f>
        <v>0.12252331002331002</v>
      </c>
      <c r="E14" s="24">
        <f>E12/E10</f>
        <v>0.37350294336558632</v>
      </c>
      <c r="F14" s="19"/>
      <c r="G14" s="19"/>
      <c r="H14" s="19"/>
      <c r="I14" s="19"/>
      <c r="J14" s="24"/>
      <c r="K14" s="60"/>
      <c r="L14" s="2"/>
      <c r="M14" s="2"/>
      <c r="N14" s="2"/>
      <c r="O14" s="1"/>
      <c r="P14" s="1"/>
      <c r="Q14" s="1"/>
      <c r="R14" s="1"/>
    </row>
    <row r="15" spans="1:18" ht="22" customHeight="1" x14ac:dyDescent="0.2">
      <c r="A15" s="20" t="s">
        <v>15</v>
      </c>
      <c r="B15" s="21">
        <v>636000000</v>
      </c>
      <c r="C15" s="21">
        <v>-1249000000</v>
      </c>
      <c r="D15" s="21">
        <v>-1377000000</v>
      </c>
      <c r="E15" s="22">
        <v>1343000000</v>
      </c>
      <c r="F15" s="55">
        <v>1950000000</v>
      </c>
      <c r="G15" s="55">
        <v>2552000000</v>
      </c>
      <c r="H15" s="55">
        <v>2900000000</v>
      </c>
      <c r="I15" s="55">
        <v>3166000000</v>
      </c>
      <c r="J15" s="55">
        <v>3600000000</v>
      </c>
      <c r="K15" s="56" t="s">
        <v>20</v>
      </c>
      <c r="L15" s="2"/>
      <c r="M15" s="2"/>
      <c r="N15" s="2"/>
      <c r="O15" s="1"/>
      <c r="P15" s="1"/>
      <c r="Q15" s="1"/>
      <c r="R15" s="1"/>
    </row>
    <row r="16" spans="1:18" ht="22" customHeight="1" x14ac:dyDescent="0.2">
      <c r="A16" s="26"/>
      <c r="B16" s="27"/>
      <c r="C16" s="27">
        <f t="shared" ref="C16:J16" si="1">(C15/B15)-1</f>
        <v>-2.9638364779874213</v>
      </c>
      <c r="D16" s="27">
        <f t="shared" si="1"/>
        <v>0.10248198558847088</v>
      </c>
      <c r="E16" s="28">
        <f t="shared" si="1"/>
        <v>-1.9753086419753085</v>
      </c>
      <c r="F16" s="27">
        <f t="shared" si="1"/>
        <v>0.45197319434102745</v>
      </c>
      <c r="G16" s="27">
        <f t="shared" si="1"/>
        <v>0.30871794871794878</v>
      </c>
      <c r="H16" s="27">
        <f t="shared" si="1"/>
        <v>0.13636363636363646</v>
      </c>
      <c r="I16" s="27">
        <f t="shared" si="1"/>
        <v>9.1724137931034511E-2</v>
      </c>
      <c r="J16" s="28">
        <f t="shared" si="1"/>
        <v>0.13708149084017696</v>
      </c>
      <c r="K16" s="59">
        <f>AVERAGE(F16:J16)</f>
        <v>0.22517208163876484</v>
      </c>
      <c r="L16" s="2"/>
      <c r="M16" s="2"/>
      <c r="N16" s="2"/>
      <c r="O16" s="1"/>
      <c r="P16" s="1"/>
      <c r="Q16" s="1"/>
      <c r="R16" s="1"/>
    </row>
    <row r="17" spans="1:18" ht="22" customHeight="1" x14ac:dyDescent="0.2">
      <c r="A17" s="4" t="s">
        <v>16</v>
      </c>
      <c r="B17" s="5">
        <f t="shared" ref="B17:J17" si="2">B15/B10</f>
        <v>5.5579830464039151E-2</v>
      </c>
      <c r="C17" s="5">
        <f t="shared" si="2"/>
        <v>-0.10341972344125197</v>
      </c>
      <c r="D17" s="5">
        <f t="shared" si="2"/>
        <v>-0.10030594405594405</v>
      </c>
      <c r="E17" s="25">
        <f t="shared" si="2"/>
        <v>9.0872183503620002E-2</v>
      </c>
      <c r="F17" s="5">
        <f t="shared" si="2"/>
        <v>0.1173638278663858</v>
      </c>
      <c r="G17" s="5">
        <f t="shared" si="2"/>
        <v>0.13613570895124294</v>
      </c>
      <c r="H17" s="5">
        <f t="shared" si="2"/>
        <v>0.14529058116232466</v>
      </c>
      <c r="I17" s="5">
        <f t="shared" si="2"/>
        <v>0.14216434665469241</v>
      </c>
      <c r="J17" s="25">
        <f t="shared" si="2"/>
        <v>0.14808720691073632</v>
      </c>
      <c r="K17" s="61"/>
      <c r="L17" s="2"/>
      <c r="M17" s="2"/>
      <c r="N17" s="2"/>
      <c r="O17" s="1"/>
      <c r="P17" s="1"/>
      <c r="Q17" s="1"/>
      <c r="R17" s="1"/>
    </row>
    <row r="18" spans="1:18" ht="22" customHeight="1" x14ac:dyDescent="0.2">
      <c r="A18" s="20" t="s">
        <v>17</v>
      </c>
      <c r="B18" s="21">
        <v>2050000000</v>
      </c>
      <c r="C18" s="21">
        <v>-671000000</v>
      </c>
      <c r="D18" s="21">
        <v>-487000000</v>
      </c>
      <c r="E18" s="22">
        <v>3069000000</v>
      </c>
      <c r="F18" s="55">
        <v>2078000000</v>
      </c>
      <c r="G18" s="55">
        <v>2800000000</v>
      </c>
      <c r="H18" s="55">
        <v>3400000000</v>
      </c>
      <c r="I18" s="55">
        <v>3710000000</v>
      </c>
      <c r="J18" s="55">
        <v>4324000000</v>
      </c>
      <c r="K18" s="56" t="s">
        <v>21</v>
      </c>
      <c r="L18" s="2"/>
      <c r="M18" s="2"/>
      <c r="N18" s="2"/>
      <c r="P18" s="1"/>
      <c r="Q18" s="1"/>
      <c r="R18" s="1"/>
    </row>
    <row r="19" spans="1:18" ht="22" customHeight="1" x14ac:dyDescent="0.2">
      <c r="A19" s="29"/>
      <c r="B19" s="27"/>
      <c r="C19" s="27">
        <f t="shared" ref="C19:J19" si="3">(C18/B18)-1</f>
        <v>-1.3273170731707318</v>
      </c>
      <c r="D19" s="27">
        <f t="shared" si="3"/>
        <v>-0.27421758569299548</v>
      </c>
      <c r="E19" s="28">
        <f t="shared" si="3"/>
        <v>-7.3018480492813138</v>
      </c>
      <c r="F19" s="27">
        <f t="shared" si="3"/>
        <v>-0.32290648419680679</v>
      </c>
      <c r="G19" s="27">
        <f t="shared" si="3"/>
        <v>0.34744947064485077</v>
      </c>
      <c r="H19" s="27">
        <f t="shared" si="3"/>
        <v>0.21428571428571419</v>
      </c>
      <c r="I19" s="27">
        <f t="shared" si="3"/>
        <v>9.1176470588235192E-2</v>
      </c>
      <c r="J19" s="28">
        <f t="shared" si="3"/>
        <v>0.16549865229110505</v>
      </c>
      <c r="K19" s="59">
        <f>AVERAGE(F19:J19)</f>
        <v>9.910076472261968E-2</v>
      </c>
      <c r="L19" s="2"/>
      <c r="M19" s="2"/>
      <c r="N19" s="2"/>
      <c r="O19" s="1"/>
      <c r="P19" s="1"/>
      <c r="Q19" s="1"/>
      <c r="R19" s="1"/>
    </row>
    <row r="20" spans="1:18" ht="22" customHeight="1" x14ac:dyDescent="0.2">
      <c r="A20" s="32" t="s">
        <v>8</v>
      </c>
      <c r="B20" s="33">
        <f t="shared" ref="B20:J20" si="4">B18/B10</f>
        <v>0.17914882460893122</v>
      </c>
      <c r="C20" s="33">
        <f t="shared" si="4"/>
        <v>-5.5560155667798296E-2</v>
      </c>
      <c r="D20" s="33">
        <f t="shared" si="4"/>
        <v>-3.5474941724941728E-2</v>
      </c>
      <c r="E20" s="34">
        <f t="shared" si="4"/>
        <v>0.20765951688206238</v>
      </c>
      <c r="F20" s="33">
        <f t="shared" si="4"/>
        <v>0.12506770990069216</v>
      </c>
      <c r="G20" s="33">
        <f t="shared" si="4"/>
        <v>0.14936519790888722</v>
      </c>
      <c r="H20" s="33">
        <f t="shared" si="4"/>
        <v>0.17034068136272545</v>
      </c>
      <c r="I20" s="33">
        <f t="shared" si="4"/>
        <v>0.16659182757072294</v>
      </c>
      <c r="J20" s="34">
        <f t="shared" si="4"/>
        <v>0.1778691896338955</v>
      </c>
      <c r="K20" s="62"/>
      <c r="L20" s="2"/>
      <c r="M20" s="2"/>
      <c r="N20" s="2"/>
      <c r="O20" s="1"/>
      <c r="P20" s="1"/>
      <c r="Q20" s="1"/>
      <c r="R20" s="1"/>
    </row>
    <row r="21" spans="1:18" ht="22" customHeight="1" x14ac:dyDescent="0.2">
      <c r="A21" s="71" t="s">
        <v>34</v>
      </c>
      <c r="B21" s="72">
        <v>266000000</v>
      </c>
      <c r="C21" s="72">
        <v>290000000</v>
      </c>
      <c r="D21" s="72">
        <v>453000000</v>
      </c>
      <c r="E21" s="73">
        <v>463000000</v>
      </c>
      <c r="F21" s="72"/>
      <c r="G21" s="72"/>
      <c r="H21" s="72"/>
      <c r="I21" s="72"/>
      <c r="J21" s="73"/>
      <c r="K21" s="74"/>
      <c r="L21" s="2"/>
      <c r="M21" s="2"/>
      <c r="N21" s="2"/>
      <c r="P21" s="1"/>
      <c r="Q21" s="1"/>
      <c r="R21" s="1"/>
    </row>
    <row r="22" spans="1:18" ht="22" customHeight="1" x14ac:dyDescent="0.2">
      <c r="A22" s="75"/>
      <c r="B22" s="76"/>
      <c r="C22" s="77">
        <f t="shared" ref="C22:E22" si="5">(C21/B21)-1</f>
        <v>9.0225563909774431E-2</v>
      </c>
      <c r="D22" s="77">
        <f t="shared" si="5"/>
        <v>0.56206896551724128</v>
      </c>
      <c r="E22" s="78">
        <f t="shared" si="5"/>
        <v>2.207505518763786E-2</v>
      </c>
      <c r="F22" s="76"/>
      <c r="G22" s="76"/>
      <c r="H22" s="76"/>
      <c r="I22" s="76"/>
      <c r="J22" s="76"/>
      <c r="K22" s="79"/>
      <c r="L22" s="2"/>
      <c r="M22" s="2"/>
      <c r="N22" s="2"/>
      <c r="O22" s="1"/>
      <c r="P22" s="1"/>
      <c r="Q22" s="1"/>
      <c r="R22" s="1"/>
    </row>
    <row r="23" spans="1:18" ht="22" customHeight="1" x14ac:dyDescent="0.2">
      <c r="A23" s="80" t="s">
        <v>33</v>
      </c>
      <c r="B23" s="81">
        <f ca="1">B21/$A$5</f>
        <v>5.4562580408013235E-3</v>
      </c>
      <c r="C23" s="81">
        <f t="shared" ref="C23:E23" ca="1" si="6">C21/$A$5</f>
        <v>5.9485519993698636E-3</v>
      </c>
      <c r="D23" s="81">
        <f t="shared" ca="1" si="6"/>
        <v>9.2920484679812013E-3</v>
      </c>
      <c r="E23" s="81">
        <f t="shared" ca="1" si="6"/>
        <v>9.497170950718092E-3</v>
      </c>
      <c r="F23" s="82"/>
      <c r="G23" s="81"/>
      <c r="H23" s="81"/>
      <c r="I23" s="81"/>
      <c r="J23" s="83"/>
      <c r="K23" s="84"/>
      <c r="L23" s="2"/>
      <c r="M23" s="2"/>
      <c r="N23" s="2"/>
      <c r="O23" s="1"/>
      <c r="P23" s="1"/>
      <c r="Q23" s="1"/>
      <c r="R23" s="1"/>
    </row>
    <row r="24" spans="1:18" ht="22" customHeight="1" x14ac:dyDescent="0.2">
      <c r="A24" s="20" t="s">
        <v>31</v>
      </c>
      <c r="B24" s="21">
        <v>489100000</v>
      </c>
      <c r="C24" s="21">
        <v>483000000</v>
      </c>
      <c r="D24" s="21">
        <v>398000000</v>
      </c>
      <c r="E24" s="22">
        <v>357600000</v>
      </c>
      <c r="F24" s="21"/>
      <c r="G24" s="21"/>
      <c r="H24" s="21"/>
      <c r="I24" s="21"/>
      <c r="J24" s="22"/>
      <c r="K24" s="56" t="s">
        <v>27</v>
      </c>
      <c r="L24" s="2"/>
      <c r="M24" s="2"/>
      <c r="N24" s="2"/>
      <c r="P24" s="1"/>
      <c r="Q24" s="1"/>
      <c r="R24" s="1"/>
    </row>
    <row r="25" spans="1:18" ht="22" customHeight="1" x14ac:dyDescent="0.2">
      <c r="A25" s="29"/>
      <c r="B25" s="27"/>
      <c r="C25" s="30">
        <f t="shared" ref="C25" si="7">(C24/B24)-1</f>
        <v>-1.24718871396442E-2</v>
      </c>
      <c r="D25" s="30">
        <f t="shared" ref="D25" si="8">(D24/C24)-1</f>
        <v>-0.17598343685300211</v>
      </c>
      <c r="E25" s="31">
        <f t="shared" ref="E25" si="9">(E24/D24)-1</f>
        <v>-0.10150753768844223</v>
      </c>
      <c r="F25" s="27"/>
      <c r="G25" s="27"/>
      <c r="H25" s="27"/>
      <c r="I25" s="27"/>
      <c r="J25" s="28"/>
      <c r="K25" s="63">
        <f>AVERAGE(C25:E25)</f>
        <v>-9.6654287227029512E-2</v>
      </c>
      <c r="L25" s="2"/>
      <c r="M25" s="2"/>
      <c r="N25" s="2"/>
      <c r="O25" s="1"/>
      <c r="P25" s="1"/>
      <c r="Q25" s="1"/>
      <c r="R25" s="1"/>
    </row>
    <row r="26" spans="1:18" s="2" customFormat="1" ht="22" customHeight="1" x14ac:dyDescent="0.2"/>
    <row r="27" spans="1:18" ht="22" customHeight="1" x14ac:dyDescent="0.2">
      <c r="A27" s="2"/>
      <c r="B27" s="2"/>
      <c r="C27" s="2"/>
      <c r="D27" s="2"/>
      <c r="E27" s="2"/>
      <c r="F27" s="2"/>
      <c r="G27" s="2"/>
      <c r="H27" s="2"/>
      <c r="I27" s="2"/>
      <c r="J27" s="2"/>
      <c r="K27" s="2"/>
      <c r="L27" s="2"/>
      <c r="M27" s="2"/>
      <c r="N27" s="2"/>
      <c r="O27" s="1"/>
      <c r="P27" s="1"/>
      <c r="Q27" s="1"/>
      <c r="R27" s="1"/>
    </row>
    <row r="28" spans="1:18" ht="22" customHeight="1" x14ac:dyDescent="0.2">
      <c r="A28" s="87" t="str" cm="1">
        <f t="array" aca="1" ref="A28" ca="1">_FV(A1,"Industry")</f>
        <v>Electrical Utilities &amp; IPPs</v>
      </c>
      <c r="B28" s="87"/>
      <c r="C28" s="87"/>
      <c r="D28" s="88" cm="1">
        <f t="array" aca="1" ref="D28" ca="1">_FV(A1,"Year incorporated",TRUE)</f>
        <v>2016</v>
      </c>
      <c r="E28" s="88"/>
      <c r="F28" s="2"/>
      <c r="G28" s="2"/>
      <c r="H28" s="2"/>
      <c r="I28" s="2"/>
      <c r="J28" s="2"/>
      <c r="K28" s="2"/>
      <c r="L28" s="2"/>
      <c r="M28" s="2"/>
      <c r="N28" s="2"/>
      <c r="O28" s="1"/>
      <c r="P28" s="1"/>
      <c r="Q28" s="1"/>
      <c r="R28" s="1"/>
    </row>
    <row r="29" spans="1:18" ht="22" customHeight="1" x14ac:dyDescent="0.2">
      <c r="A29" s="15"/>
      <c r="B29" s="15"/>
      <c r="C29" s="15"/>
      <c r="D29" s="15"/>
      <c r="E29" s="15"/>
      <c r="F29" s="2"/>
      <c r="G29" s="2"/>
      <c r="H29" s="2"/>
      <c r="I29" s="2"/>
      <c r="J29" s="2"/>
      <c r="K29" s="2"/>
      <c r="L29" s="2"/>
      <c r="M29" s="2"/>
      <c r="N29" s="2"/>
      <c r="P29" s="1"/>
      <c r="Q29" s="1"/>
      <c r="R29" s="1"/>
    </row>
    <row r="30" spans="1:18" ht="22" customHeight="1" x14ac:dyDescent="0.2">
      <c r="A30" s="89" t="str" cm="1">
        <f t="array" aca="1" ref="A30" ca="1">_FV(A1,"Description")</f>
        <v>Vistra Corp. is an integrated retail and electric power generation company. The Company operates in six business segments: Retail, Texas, East, West, Sunset and Asset Closure. The Retail segment represents its retail sales of electricity and natural gas to residential, small business and commercial and industrial customers. The Texas and East segments are engaged in electricity generation, wholesale energy sales and purchases, commodity risk management activities, fuel production and fuel logistics management. The East segment includes operations in the PJM, ISO-NE and NYISO markets. The West segment represents results from the CAISO market, including its battery ESS projects at its Moss Landing power plant site. The Sunset segment represents generation plants with announced retirement plans. The Asset Closure segment is engaged in the decommissioning and reclamation of retired plants and mines. The Company operates in approximately 41,000 megawatts of installed generation capacity.</v>
      </c>
      <c r="B30" s="89"/>
      <c r="C30" s="89"/>
      <c r="D30" s="89"/>
      <c r="E30" s="89"/>
      <c r="F30" s="2"/>
      <c r="G30" s="2"/>
      <c r="H30" s="2"/>
      <c r="I30" s="2"/>
      <c r="J30" s="2"/>
      <c r="K30" s="2"/>
      <c r="L30" s="2"/>
      <c r="M30" s="2"/>
      <c r="N30" s="2"/>
      <c r="O30" s="1"/>
      <c r="P30" s="1"/>
      <c r="Q30" s="1"/>
      <c r="R30" s="1"/>
    </row>
    <row r="31" spans="1:18" ht="22" customHeight="1" x14ac:dyDescent="0.2">
      <c r="A31" s="89"/>
      <c r="B31" s="89"/>
      <c r="C31" s="89"/>
      <c r="D31" s="89"/>
      <c r="E31" s="89"/>
      <c r="F31" s="2"/>
      <c r="G31" s="2"/>
      <c r="H31" s="2"/>
      <c r="I31" s="2"/>
      <c r="J31" s="2"/>
      <c r="K31" s="2"/>
      <c r="L31" s="2"/>
      <c r="M31" s="2"/>
      <c r="N31" s="2"/>
      <c r="O31" s="1"/>
      <c r="P31" s="1"/>
      <c r="Q31" s="1"/>
      <c r="R31" s="1"/>
    </row>
    <row r="32" spans="1:18" ht="22" customHeight="1" x14ac:dyDescent="0.2">
      <c r="A32" s="89"/>
      <c r="B32" s="89"/>
      <c r="C32" s="89"/>
      <c r="D32" s="89"/>
      <c r="E32" s="89"/>
      <c r="F32" s="2"/>
      <c r="G32" s="2"/>
      <c r="H32" s="2"/>
      <c r="I32" s="2"/>
      <c r="J32" s="2"/>
      <c r="K32" s="2"/>
      <c r="L32" s="2"/>
      <c r="M32" s="2"/>
      <c r="N32" s="2"/>
      <c r="O32" s="1"/>
      <c r="P32" s="1"/>
      <c r="Q32" s="1"/>
      <c r="R32" s="1"/>
    </row>
    <row r="33" spans="1:18" ht="22" customHeight="1" x14ac:dyDescent="0.2">
      <c r="A33" s="89"/>
      <c r="B33" s="89"/>
      <c r="C33" s="89"/>
      <c r="D33" s="89"/>
      <c r="E33" s="89"/>
      <c r="F33" s="2"/>
      <c r="G33" s="2"/>
      <c r="H33" s="2"/>
      <c r="I33" s="2"/>
      <c r="J33" s="2"/>
      <c r="K33" s="2"/>
      <c r="L33" s="2"/>
      <c r="M33" s="2"/>
      <c r="N33" s="2"/>
      <c r="O33" s="1"/>
      <c r="P33" s="1"/>
      <c r="Q33" s="1"/>
      <c r="R33" s="1"/>
    </row>
    <row r="34" spans="1:18" ht="22" customHeight="1" x14ac:dyDescent="0.2">
      <c r="A34" s="89"/>
      <c r="B34" s="89"/>
      <c r="C34" s="89"/>
      <c r="D34" s="89"/>
      <c r="E34" s="89"/>
      <c r="F34" s="2"/>
      <c r="G34" s="2"/>
      <c r="H34" s="2"/>
      <c r="I34" s="2"/>
      <c r="J34" s="2"/>
      <c r="K34" s="2"/>
      <c r="L34" s="2"/>
      <c r="M34" s="2"/>
      <c r="N34" s="2"/>
      <c r="O34" s="1"/>
      <c r="P34" s="1"/>
      <c r="Q34" s="1"/>
      <c r="R34" s="1"/>
    </row>
    <row r="35" spans="1:18" ht="22" customHeight="1" x14ac:dyDescent="0.2">
      <c r="A35" s="89"/>
      <c r="B35" s="89"/>
      <c r="C35" s="89"/>
      <c r="D35" s="89"/>
      <c r="E35" s="89"/>
      <c r="F35" s="1"/>
      <c r="G35" s="1"/>
      <c r="H35" s="1"/>
      <c r="I35" s="1"/>
      <c r="J35" s="1"/>
      <c r="K35" s="1"/>
      <c r="L35" s="1"/>
      <c r="M35" s="2"/>
      <c r="N35" s="2"/>
      <c r="O35" s="1"/>
      <c r="P35" s="1"/>
      <c r="Q35" s="1"/>
      <c r="R35" s="1"/>
    </row>
    <row r="36" spans="1:18" ht="22" customHeight="1" x14ac:dyDescent="0.2">
      <c r="A36" s="89"/>
      <c r="B36" s="89"/>
      <c r="C36" s="89"/>
      <c r="D36" s="89"/>
      <c r="E36" s="89"/>
      <c r="F36" s="1"/>
      <c r="G36" s="1"/>
      <c r="H36" s="1"/>
      <c r="I36" s="1"/>
      <c r="J36" s="1"/>
      <c r="K36" s="1"/>
      <c r="L36" s="1"/>
      <c r="M36" s="2"/>
      <c r="N36" s="2"/>
      <c r="O36" s="1"/>
      <c r="P36" s="1"/>
      <c r="Q36" s="1"/>
      <c r="R36" s="1"/>
    </row>
    <row r="37" spans="1:18" ht="22" customHeight="1" x14ac:dyDescent="0.2">
      <c r="A37" s="89"/>
      <c r="B37" s="89"/>
      <c r="C37" s="89"/>
      <c r="D37" s="89"/>
      <c r="E37" s="89"/>
      <c r="F37" s="2"/>
      <c r="G37" s="2"/>
      <c r="H37" s="2"/>
      <c r="I37" s="2"/>
      <c r="J37" s="2"/>
      <c r="K37" s="2"/>
      <c r="L37" s="2"/>
      <c r="M37" s="2"/>
      <c r="N37" s="2"/>
      <c r="O37" s="2"/>
      <c r="P37" s="2"/>
      <c r="Q37" s="1"/>
      <c r="R37" s="1"/>
    </row>
    <row r="38" spans="1:18" ht="22" customHeight="1" x14ac:dyDescent="0.2">
      <c r="A38" s="89"/>
      <c r="B38" s="89"/>
      <c r="C38" s="89"/>
      <c r="D38" s="89"/>
      <c r="E38" s="89"/>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ht="22" customHeight="1" x14ac:dyDescent="0.2">
      <c r="A42" s="2"/>
      <c r="B42" s="2"/>
      <c r="C42" s="2"/>
      <c r="D42" s="2"/>
      <c r="E42" s="2"/>
      <c r="F42" s="2"/>
      <c r="G42" s="2"/>
      <c r="H42" s="2"/>
      <c r="I42" s="2"/>
      <c r="J42" s="2"/>
      <c r="K42" s="2"/>
      <c r="L42" s="2"/>
      <c r="M42" s="2"/>
      <c r="N42" s="2"/>
      <c r="O42" s="2"/>
      <c r="P42" s="2"/>
      <c r="Q42" s="1"/>
      <c r="R42" s="1"/>
    </row>
    <row r="43" spans="1:18" ht="22" customHeight="1" x14ac:dyDescent="0.2">
      <c r="A43" s="2"/>
      <c r="B43" s="2"/>
      <c r="C43" s="2"/>
      <c r="D43" s="2"/>
      <c r="E43" s="2"/>
      <c r="F43" s="2"/>
      <c r="G43" s="2"/>
      <c r="H43" s="2"/>
      <c r="I43" s="2"/>
      <c r="J43" s="2"/>
      <c r="K43" s="2"/>
      <c r="L43" s="2"/>
      <c r="M43" s="2"/>
      <c r="N43" s="2"/>
      <c r="O43" s="2"/>
      <c r="P43" s="2"/>
      <c r="Q43" s="1"/>
      <c r="R43" s="1"/>
    </row>
    <row r="44" spans="1:18" ht="22" customHeight="1"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A63" s="2"/>
      <c r="B63" s="2"/>
      <c r="C63" s="2"/>
      <c r="D63" s="2"/>
      <c r="E63" s="2"/>
      <c r="F63" s="2"/>
      <c r="G63" s="2"/>
      <c r="H63" s="2"/>
      <c r="I63" s="2"/>
      <c r="J63" s="2"/>
      <c r="K63" s="2"/>
      <c r="L63" s="2"/>
      <c r="M63" s="2"/>
      <c r="N63" s="2"/>
      <c r="O63" s="2"/>
      <c r="P63" s="2"/>
      <c r="Q63" s="1"/>
      <c r="R63" s="1"/>
    </row>
    <row r="64" spans="1:18" x14ac:dyDescent="0.2">
      <c r="A64" s="2"/>
      <c r="B64" s="2"/>
      <c r="C64" s="2"/>
      <c r="D64" s="2"/>
      <c r="E64" s="2"/>
      <c r="F64" s="2"/>
      <c r="G64" s="2"/>
      <c r="H64" s="2"/>
      <c r="I64" s="2"/>
      <c r="J64" s="2"/>
      <c r="K64" s="2"/>
      <c r="L64" s="2"/>
      <c r="M64" s="2"/>
      <c r="N64" s="2"/>
      <c r="O64" s="2"/>
      <c r="P64" s="2"/>
      <c r="Q64" s="1"/>
      <c r="R64" s="1"/>
    </row>
    <row r="65" spans="1:18" x14ac:dyDescent="0.2">
      <c r="A65" s="2"/>
      <c r="B65" s="2"/>
      <c r="C65" s="2"/>
      <c r="D65" s="2"/>
      <c r="E65" s="2"/>
      <c r="F65" s="2"/>
      <c r="G65" s="2"/>
      <c r="H65" s="2"/>
      <c r="I65" s="2"/>
      <c r="J65" s="2"/>
      <c r="K65" s="2"/>
      <c r="L65" s="2"/>
      <c r="M65" s="2"/>
      <c r="N65" s="2"/>
      <c r="O65" s="2"/>
      <c r="P65" s="2"/>
      <c r="Q65" s="1"/>
      <c r="R65" s="1"/>
    </row>
    <row r="66" spans="1:18" x14ac:dyDescent="0.2">
      <c r="O66" s="1"/>
      <c r="P66" s="1"/>
      <c r="Q66" s="1"/>
      <c r="R66" s="1"/>
    </row>
    <row r="67" spans="1:18" x14ac:dyDescent="0.2">
      <c r="O67" s="1"/>
      <c r="P67" s="1"/>
    </row>
    <row r="68" spans="1:18" x14ac:dyDescent="0.2">
      <c r="O68" s="1"/>
      <c r="P68" s="1"/>
    </row>
    <row r="69" spans="1:18" x14ac:dyDescent="0.2">
      <c r="O69" s="1"/>
      <c r="P69" s="1"/>
    </row>
    <row r="70" spans="1:18" x14ac:dyDescent="0.2">
      <c r="O70" s="1"/>
      <c r="P70" s="1"/>
    </row>
    <row r="71" spans="1:18" x14ac:dyDescent="0.2">
      <c r="O71" s="1"/>
      <c r="P71" s="1"/>
    </row>
    <row r="72" spans="1:18" x14ac:dyDescent="0.2">
      <c r="O72" s="1"/>
      <c r="P72" s="1"/>
    </row>
    <row r="73" spans="1:18" x14ac:dyDescent="0.2">
      <c r="O73" s="1"/>
      <c r="P73" s="1"/>
    </row>
    <row r="74" spans="1:18" x14ac:dyDescent="0.2">
      <c r="O74" s="1"/>
      <c r="P74" s="1"/>
    </row>
    <row r="75" spans="1:18" x14ac:dyDescent="0.2">
      <c r="O75" s="1"/>
      <c r="P75" s="1"/>
    </row>
    <row r="76" spans="1:18" x14ac:dyDescent="0.2">
      <c r="O76" s="1"/>
      <c r="P76" s="1"/>
    </row>
    <row r="77" spans="1:18" x14ac:dyDescent="0.2">
      <c r="O77" s="1"/>
      <c r="P77" s="1"/>
    </row>
    <row r="78" spans="1:18" x14ac:dyDescent="0.2">
      <c r="O78" s="1"/>
      <c r="P78" s="1"/>
    </row>
    <row r="79" spans="1:18" x14ac:dyDescent="0.2">
      <c r="O79" s="1"/>
      <c r="P79" s="1"/>
    </row>
    <row r="80" spans="1:18"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row r="112" spans="15:16" x14ac:dyDescent="0.2">
      <c r="O112" s="1"/>
      <c r="P112" s="1"/>
    </row>
    <row r="113" spans="15:16" x14ac:dyDescent="0.2">
      <c r="O113" s="1"/>
      <c r="P113" s="1"/>
    </row>
    <row r="114" spans="15:16" x14ac:dyDescent="0.2">
      <c r="O114" s="1"/>
      <c r="P114" s="1"/>
    </row>
  </sheetData>
  <mergeCells count="5">
    <mergeCell ref="A1:D2"/>
    <mergeCell ref="A28:C28"/>
    <mergeCell ref="D28:E28"/>
    <mergeCell ref="A30:E38"/>
    <mergeCell ref="A8:B8"/>
  </mergeCells>
  <hyperlinks>
    <hyperlink ref="F9" r:id="rId1" display="https://finbox.com/NYSE:VST/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2024-11-10T10:54:24Z</dcterms:modified>
</cp:coreProperties>
</file>