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68B75FE1-042F-3A49-833A-39D852898921}" xr6:coauthVersionLast="47" xr6:coauthVersionMax="47" xr10:uidLastSave="{00000000-0000-0000-0000-000000000000}"/>
  <bookViews>
    <workbookView xWindow="0" yWindow="500" windowWidth="28800" windowHeight="17500" xr2:uid="{E608DFD5-05DA-0349-8261-C0D7D558308B}"/>
  </bookViews>
  <sheets>
    <sheet name="DCF Model" sheetId="1" r:id="rId1"/>
  </sheets>
  <definedNames>
    <definedName name="_xlchart.v1.0" hidden="1">'DCF Model'!$A$10</definedName>
    <definedName name="_xlchart.v1.1" hidden="1">'DCF Model'!$A$15</definedName>
    <definedName name="_xlchart.v1.10" hidden="1">'DCF Model'!$B$10:$J$10</definedName>
    <definedName name="_xlchart.v1.11" hidden="1">'DCF Model'!$B$15:$J$15</definedName>
    <definedName name="_xlchart.v1.12" hidden="1">'DCF Model'!$B$18:$J$18</definedName>
    <definedName name="_xlchart.v1.13" hidden="1">'DCF Model'!$B$9:$J$9</definedName>
    <definedName name="_xlchart.v1.2" hidden="1">'DCF Model'!$A$18</definedName>
    <definedName name="_xlchart.v1.3" hidden="1">'DCF Model'!$B$10:$J$10</definedName>
    <definedName name="_xlchart.v1.4" hidden="1">'DCF Model'!$B$15:$J$15</definedName>
    <definedName name="_xlchart.v1.5" hidden="1">'DCF Model'!$B$18:$J$18</definedName>
    <definedName name="_xlchart.v1.6" hidden="1">'DCF Model'!$B$9:$J$9</definedName>
    <definedName name="_xlchart.v1.7" hidden="1">'DCF Model'!$A$10</definedName>
    <definedName name="_xlchart.v1.8" hidden="1">'DCF Model'!$A$15</definedName>
    <definedName name="_xlchart.v1.9" hidden="1">'DCF Model'!$A$18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<sst xmlns="http://schemas.openxmlformats.org/spreadsheetml/2006/main" count="36" uniqueCount="33">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</sst>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58158000000</c:v>
                </c:pt>
                <c:pt idx="1">
                  <c:v>62286000000</c:v>
                </c:pt>
                <c:pt idx="2">
                  <c:v>66608000000</c:v>
                </c:pt>
                <c:pt idx="3">
                  <c:v>77794000000</c:v>
                </c:pt>
                <c:pt idx="4">
                  <c:v>73485000000</c:v>
                </c:pt>
                <c:pt idx="5">
                  <c:v>91220000000</c:v>
                </c:pt>
                <c:pt idx="6">
                  <c:v>103200000000</c:v>
                </c:pt>
                <c:pt idx="7">
                  <c:v>114100000000</c:v>
                </c:pt>
                <c:pt idx="8">
                  <c:v>128300000000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-11873000000</c:v>
                </c:pt>
                <c:pt idx="1">
                  <c:v>-4202000000</c:v>
                </c:pt>
                <c:pt idx="2">
                  <c:v>-4935000000</c:v>
                </c:pt>
                <c:pt idx="3">
                  <c:v>-2222000000</c:v>
                </c:pt>
                <c:pt idx="4">
                  <c:v>-3160000000</c:v>
                </c:pt>
                <c:pt idx="5">
                  <c:v>1427000000</c:v>
                </c:pt>
                <c:pt idx="6">
                  <c:v>4104000000</c:v>
                </c:pt>
                <c:pt idx="7">
                  <c:v>6636000000</c:v>
                </c:pt>
                <c:pt idx="8">
                  <c:v>6842000000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-14038000000</c:v>
                </c:pt>
                <c:pt idx="1">
                  <c:v>-1094000000</c:v>
                </c:pt>
                <c:pt idx="2">
                  <c:v>4015000000</c:v>
                </c:pt>
                <c:pt idx="3">
                  <c:v>6165000000</c:v>
                </c:pt>
                <c:pt idx="4">
                  <c:v>809300000</c:v>
                </c:pt>
                <c:pt idx="5">
                  <c:v>2661000000</c:v>
                </c:pt>
                <c:pt idx="6">
                  <c:v>5868000000</c:v>
                </c:pt>
                <c:pt idx="7">
                  <c:v>7637000000</c:v>
                </c:pt>
                <c:pt idx="8">
                  <c:v>9088000000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234950</xdr:colOff>
      <xdr:row>22</xdr:row>
      <xdr:rowOff>196850</xdr:rowOff>
    </xdr:from>
    <xdr:to>
      <xdr:col>10</xdr:col>
      <xdr:colOff>952500</xdr:colOff>
      <xdr:row>35</xdr:row>
      <xdr:rowOff>12700</xdr:rowOff>
    </xdr:to>
    <xdr:graphicFrame macro="">
      <xdr:nvGraphicFramePr>
        <xdr:cNvPr id="2" name="Chart 1">
          <a:extLst>
            <a:ext uri="{FF2B5EF4-FFF2-40B4-BE49-F238E27FC236}">
              <a16:creationId xmlns:a16="http://schemas.microsoft.com/office/drawing/2014/main" id="{A46ED634-12BA-41F8-9D92-6DE53698E1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https://www.bing.com/financeapi/forcetrigger?t=a1o4ec&amp;q=XNYS%3aBA&amp;form=skydnc</v>
    <v>Learn more on Bing</v>
  </rv>
  <rv s="1">
    <v>0</v>
    <v>THE BOEING COMPANY (XNYS:BA)</v>
    <v>2</v>
    <v>3</v>
    <v>Finance</v>
    <v>4</v>
    <v>en-US</v>
    <v>a1o4ec</v>
    <v>268435456</v>
    <v>1</v>
    <v>Powered by Refinitiv</v>
    <v>267.54000000000002</v>
    <v>144.13</v>
    <v>1.5561</v>
    <v>3.77</v>
    <v>2.5617999999999998E-2</v>
    <v>0.37</v>
    <v>2.4510000000000001E-3</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152.80000000000001</v>
    <v>Aerospace &amp; Defense</v>
    <v>Stock</v>
    <v>45604.04084554375</v>
    <v>0</v>
    <v>148.03</v>
    <v>109953600000</v>
    <v>THE BOEING COMPANY</v>
    <v>THE BOEING COMPANY</v>
    <v>148.80000000000001</v>
    <v>147.16</v>
    <v>150.93</v>
    <v>151.35</v>
    <v>747170800</v>
    <v>BA</v>
    <v>THE BOEING COMPANY (XNYS:BA)</v>
    <v>14709235</v>
    <v>16100160</v>
    <v>1934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M29" sqref="M2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150.93</v>
      </c>
      <c r="B3" s="6" t="s">
        <v>22</v>
      </c>
      <c r="C3" s="41">
        <f ca="1">A5/F10</f>
        <v>1.4962727087160645</v>
      </c>
      <c r="D3" s="9" t="s">
        <v>26</v>
      </c>
      <c r="E3" s="44">
        <f>E14</f>
        <v>0.11891662596087102</v>
      </c>
      <c r="F3" s="9" t="s">
        <v>1</v>
      </c>
      <c r="G3" s="45" cm="1">
        <f t="array" aca="1" ref="G3" ca="1">_FV(A1,"Shares outstanding",TRUE)*(1+(5*C6))</f>
        <v>834741509.12220013</v>
      </c>
      <c r="H3" s="12" t="s">
        <v>4</v>
      </c>
      <c r="I3" s="45">
        <f>J18*(1+K4)/(I6-K4)</f>
        <v>124202666666.66664</v>
      </c>
      <c r="J3" s="9" t="s">
        <v>2</v>
      </c>
      <c r="K3" s="75" t="s">
        <v>32</v>
      </c>
      <c r="L3" s="76"/>
      <c r="M3" s="2"/>
      <c r="N3" s="2"/>
      <c r="O3" s="1"/>
      <c r="P3" s="1"/>
      <c r="Q3" s="1"/>
      <c r="R3" s="1"/>
    </row>
    <row r="4" spans="1:18" ht="22" customHeight="1" x14ac:dyDescent="0.2">
      <c r="A4" s="38" cm="1">
        <f t="array" aca="1" ref="A4" ca="1">_FV(A1,"Change (%)",TRUE)</f>
        <v>2.5617999999999998E-2</v>
      </c>
      <c r="B4" s="7" t="s">
        <v>23</v>
      </c>
      <c r="C4" s="41">
        <f ca="1">A5/F15</f>
        <v>-34.795443037974685</v>
      </c>
      <c r="D4" s="9" t="s">
        <v>25</v>
      </c>
      <c r="E4" s="44">
        <f>F17</f>
        <v>-4.3001973191807853E-2</v>
      </c>
      <c r="F4" s="9" t="s">
        <v>6</v>
      </c>
      <c r="G4" s="55">
        <v>15943000000</v>
      </c>
      <c r="H4" s="12" t="s">
        <v>28</v>
      </c>
      <c r="I4" s="45">
        <f>NPV(I6,F18,G18,H18,I18,(J18+I3))</f>
        <v>95322806934.86322</v>
      </c>
      <c r="J4" s="12" t="s">
        <v>5</v>
      </c>
      <c r="K4" s="52">
        <v>2.5000000000000001E-2</v>
      </c>
      <c r="L4" s="14" t="s">
        <v>29</v>
      </c>
      <c r="M4" s="2"/>
      <c r="N4" s="2"/>
      <c r="O4" s="1"/>
      <c r="P4" s="1"/>
      <c r="Q4" s="1"/>
      <c r="R4" s="1"/>
    </row>
    <row r="5" spans="1:18" ht="22" customHeight="1" x14ac:dyDescent="0.2">
      <c r="A5" s="39" cm="1">
        <f t="array" aca="1" ref="A5" ca="1">_FV(A1,"Market cap",TRUE)</f>
        <v>109953600000</v>
      </c>
      <c r="B5" s="7" t="s">
        <v>0</v>
      </c>
      <c r="C5" s="42">
        <f ca="1">F18/A5</f>
        <v>7.3603774683139072E-3</v>
      </c>
      <c r="D5" s="9" t="s">
        <v>24</v>
      </c>
      <c r="E5" s="44">
        <f>F20</f>
        <v>1.1013131931686739E-2</v>
      </c>
      <c r="F5" s="9" t="s">
        <v>8</v>
      </c>
      <c r="G5" s="55">
        <v>54121000000</v>
      </c>
      <c r="H5" s="12" t="s">
        <v>9</v>
      </c>
      <c r="I5" s="45">
        <f>I4+G4-G5</f>
        <v>57144806934.86322</v>
      </c>
      <c r="J5" s="12" t="s">
        <v>7</v>
      </c>
      <c r="K5" s="47">
        <f ca="1">I5/G3</f>
        <v>68.458087096873527</v>
      </c>
      <c r="L5" s="6" t="s">
        <v>11</v>
      </c>
      <c r="M5" s="2"/>
      <c r="N5" s="2"/>
      <c r="O5" s="1"/>
      <c r="P5" s="1"/>
      <c r="Q5" s="1"/>
      <c r="R5" s="1"/>
    </row>
    <row r="6" spans="1:18" ht="22" customHeight="1" x14ac:dyDescent="0.2">
      <c r="A6" s="40" cm="1">
        <f t="array" aca="1" ref="A6" ca="1">_FV(A1,"Beta")</f>
        <v>1.5561</v>
      </c>
      <c r="B6" s="8" t="s">
        <v>18</v>
      </c>
      <c r="C6" s="43">
        <f>K22</f>
        <v>2.3440613343615729E-2</v>
      </c>
      <c r="D6" s="10" t="s">
        <v>27</v>
      </c>
      <c r="E6" s="54">
        <v>0.111</v>
      </c>
      <c r="F6" s="11" t="s">
        <v>12</v>
      </c>
      <c r="G6" s="46">
        <f>G4-G5</f>
        <v>-38178000000</v>
      </c>
      <c r="H6" s="11" t="s">
        <v>3</v>
      </c>
      <c r="I6" s="53">
        <v>0.1</v>
      </c>
      <c r="J6" s="10" t="s">
        <v>10</v>
      </c>
      <c r="K6" s="48">
        <f ca="1">K5/A3-1</f>
        <v>-0.54642491819470274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64">
        <v>2024</v>
      </c>
      <c r="G9" s="64">
        <v>2025</v>
      </c>
      <c r="H9" s="64">
        <v>2026</v>
      </c>
      <c r="I9" s="64">
        <v>2027</v>
      </c>
      <c r="J9" s="65">
        <v>2028</v>
      </c>
      <c r="K9" s="13"/>
      <c r="L9" s="2"/>
      <c r="M9" s="2"/>
      <c r="N9" s="2"/>
      <c r="O9" s="1"/>
      <c r="P9" s="1"/>
      <c r="Q9" s="1"/>
      <c r="R9" s="1"/>
    </row>
    <row r="10" spans="1:18" ht="22" customHeight="1" x14ac:dyDescent="0.2">
      <c r="A10" s="22" t="s">
        <v>14</v>
      </c>
      <c r="B10" s="23">
        <v>58158000000</v>
      </c>
      <c r="C10" s="23">
        <v>62286000000</v>
      </c>
      <c r="D10" s="23">
        <v>66608000000</v>
      </c>
      <c r="E10" s="24">
        <v>77794000000</v>
      </c>
      <c r="F10" s="66">
        <v>73485000000</v>
      </c>
      <c r="G10" s="66">
        <v>91220000000</v>
      </c>
      <c r="H10" s="66">
        <v>103200000000</v>
      </c>
      <c r="I10" s="66">
        <v>114100000000</v>
      </c>
      <c r="J10" s="66">
        <v>128300000000</v>
      </c>
      <c r="K10" s="67" t="s">
        <v>19</v>
      </c>
      <c r="L10" s="2"/>
      <c r="M10" s="2"/>
      <c r="N10" s="2"/>
      <c r="O10" s="1"/>
      <c r="P10" s="1"/>
      <c r="Q10" s="1"/>
      <c r="R10" s="1"/>
    </row>
    <row r="11" spans="1:18" ht="22" customHeight="1" x14ac:dyDescent="0.2">
      <c r="A11" s="18"/>
      <c r="B11" s="19"/>
      <c r="C11" s="19">
        <f t="shared" ref="C11:J11" si="0">(C10/B10)-1</f>
        <v>7.0979057051480554E-2</v>
      </c>
      <c r="D11" s="19">
        <f t="shared" si="0"/>
        <v>6.9389589956009301E-2</v>
      </c>
      <c r="E11" s="25">
        <f t="shared" si="0"/>
        <v>0.16793778525102088</v>
      </c>
      <c r="F11" s="19">
        <f t="shared" si="0"/>
        <v>-5.538987582589916E-2</v>
      </c>
      <c r="G11" s="19">
        <f t="shared" si="0"/>
        <v>0.24134177042933924</v>
      </c>
      <c r="H11" s="19">
        <f t="shared" si="0"/>
        <v>0.13133084849813637</v>
      </c>
      <c r="I11" s="19">
        <f t="shared" si="0"/>
        <v>0.10562015503875966</v>
      </c>
      <c r="J11" s="25">
        <f t="shared" si="0"/>
        <v>0.12445223488168278</v>
      </c>
      <c r="K11" s="68">
        <f>AVERAGE(F11:J11)</f>
        <v>0.10947102660440378</v>
      </c>
      <c r="L11" s="2"/>
      <c r="M11" s="2"/>
      <c r="N11" s="2"/>
      <c r="O11" s="1"/>
      <c r="P11" s="1"/>
      <c r="Q11" s="1"/>
      <c r="R11" s="1"/>
    </row>
    <row r="12" spans="1:18" ht="22" customHeight="1" x14ac:dyDescent="0.2">
      <c r="A12" s="22" t="s">
        <v>30</v>
      </c>
      <c r="B12" s="23">
        <v>-1516000000</v>
      </c>
      <c r="C12" s="23">
        <v>5404000000</v>
      </c>
      <c r="D12" s="23">
        <v>5283000000</v>
      </c>
      <c r="E12" s="24">
        <v>9251000000</v>
      </c>
      <c r="F12" s="23"/>
      <c r="G12" s="23"/>
      <c r="H12" s="23"/>
      <c r="I12" s="23"/>
      <c r="J12" s="24"/>
      <c r="K12" s="69"/>
      <c r="L12" s="2"/>
      <c r="M12" s="2"/>
      <c r="N12" s="2"/>
      <c r="O12" s="1"/>
      <c r="P12" s="1"/>
      <c r="Q12" s="1"/>
      <c r="R12" s="1"/>
    </row>
    <row r="13" spans="1:18" ht="22" customHeight="1" x14ac:dyDescent="0.2">
      <c r="A13" s="28"/>
      <c r="B13" s="29"/>
      <c r="C13" s="29">
        <f>(C12/B12)-1</f>
        <v>-4.5646437994722957</v>
      </c>
      <c r="D13" s="29">
        <f>(D12/C12)-1</f>
        <v>-2.2390821613619494E-2</v>
      </c>
      <c r="E13" s="30">
        <f>(E12/D12)-1</f>
        <v>0.75108839674427408</v>
      </c>
      <c r="F13" s="29"/>
      <c r="G13" s="29"/>
      <c r="H13" s="29"/>
      <c r="I13" s="29"/>
      <c r="J13" s="30"/>
      <c r="K13" s="70"/>
      <c r="L13" s="2"/>
      <c r="M13" s="2"/>
      <c r="N13" s="2"/>
      <c r="O13" s="1"/>
      <c r="P13" s="1"/>
      <c r="Q13" s="1"/>
      <c r="R13" s="1"/>
    </row>
    <row r="14" spans="1:18" ht="22" customHeight="1" x14ac:dyDescent="0.2">
      <c r="A14" s="20" t="s">
        <v>1</v>
      </c>
      <c r="B14" s="21">
        <f>B12/B10</f>
        <v>-2.606692114584408E-2</v>
      </c>
      <c r="C14" s="21">
        <f>C12/C10</f>
        <v>8.6761069903349072E-2</v>
      </c>
      <c r="D14" s="21">
        <f>D12/D10</f>
        <v>7.9314797021378808E-2</v>
      </c>
      <c r="E14" s="26">
        <f>E12/E10</f>
        <v>0.11891662596087102</v>
      </c>
      <c r="F14" s="21"/>
      <c r="G14" s="21"/>
      <c r="H14" s="21"/>
      <c r="I14" s="21"/>
      <c r="J14" s="26"/>
      <c r="K14" s="71"/>
      <c r="L14" s="2"/>
      <c r="M14" s="2"/>
      <c r="N14" s="2"/>
      <c r="O14" s="1"/>
      <c r="P14" s="1"/>
      <c r="Q14" s="1"/>
      <c r="R14" s="1"/>
    </row>
    <row r="15" spans="1:18" ht="22" customHeight="1" x14ac:dyDescent="0.2">
      <c r="A15" s="22" t="s">
        <v>15</v>
      </c>
      <c r="B15" s="23">
        <v>-11873000000</v>
      </c>
      <c r="C15" s="23">
        <v>-4202000000</v>
      </c>
      <c r="D15" s="23">
        <v>-4935000000</v>
      </c>
      <c r="E15" s="24">
        <v>-2222000000</v>
      </c>
      <c r="F15" s="66">
        <v>-3160000000</v>
      </c>
      <c r="G15" s="66">
        <v>1427000000</v>
      </c>
      <c r="H15" s="66">
        <v>4104000000</v>
      </c>
      <c r="I15" s="66">
        <v>6636000000</v>
      </c>
      <c r="J15" s="66">
        <v>6842000000</v>
      </c>
      <c r="K15" s="67" t="s">
        <v>20</v>
      </c>
      <c r="L15" s="2"/>
      <c r="M15" s="2"/>
      <c r="N15" s="2"/>
      <c r="O15" s="1"/>
      <c r="P15" s="1"/>
      <c r="Q15" s="1"/>
      <c r="R15" s="1"/>
    </row>
    <row r="16" spans="1:18" ht="22" customHeight="1" x14ac:dyDescent="0.2">
      <c r="A16" s="28"/>
      <c r="B16" s="29"/>
      <c r="C16" s="29">
        <f t="shared" ref="C16:J16" si="1">(C15/B15)-1</f>
        <v>-0.64608776214941466</v>
      </c>
      <c r="D16" s="29">
        <f t="shared" si="1"/>
        <v>0.17444074250356967</v>
      </c>
      <c r="E16" s="30">
        <f t="shared" si="1"/>
        <v>-0.5497467071935157</v>
      </c>
      <c r="F16" s="29">
        <f t="shared" si="1"/>
        <v>0.42214221422142217</v>
      </c>
      <c r="G16" s="29">
        <f t="shared" si="1"/>
        <v>-1.4515822784810126</v>
      </c>
      <c r="H16" s="29">
        <f t="shared" si="1"/>
        <v>1.8759635599159075</v>
      </c>
      <c r="I16" s="29">
        <f t="shared" si="1"/>
        <v>0.61695906432748537</v>
      </c>
      <c r="J16" s="30">
        <f t="shared" si="1"/>
        <v>3.1042796865581757E-2</v>
      </c>
      <c r="K16" s="70">
        <f>AVERAGE(F16:J16)</f>
        <v>0.29890507136987682</v>
      </c>
      <c r="L16" s="2"/>
      <c r="M16" s="2"/>
      <c r="N16" s="2"/>
      <c r="O16" s="1"/>
      <c r="P16" s="1"/>
      <c r="Q16" s="1"/>
      <c r="R16" s="1"/>
    </row>
    <row r="17" spans="1:18" ht="22" customHeight="1" x14ac:dyDescent="0.2">
      <c r="A17" s="4" t="s">
        <v>16</v>
      </c>
      <c r="B17" s="5">
        <f t="shared" ref="B17:J17" si="2">B15/B10</f>
        <v>-0.20415076171807833</v>
      </c>
      <c r="C17" s="5">
        <f t="shared" si="2"/>
        <v>-6.7462993289021611E-2</v>
      </c>
      <c r="D17" s="5">
        <f t="shared" si="2"/>
        <v>-7.4090199375450402E-2</v>
      </c>
      <c r="E17" s="27">
        <f t="shared" si="2"/>
        <v>-2.8562614083348332E-2</v>
      </c>
      <c r="F17" s="5">
        <f t="shared" si="2"/>
        <v>-4.3001973191807853E-2</v>
      </c>
      <c r="G17" s="5">
        <f t="shared" si="2"/>
        <v>1.5643499232624425E-2</v>
      </c>
      <c r="H17" s="5">
        <f t="shared" si="2"/>
        <v>3.9767441860465116E-2</v>
      </c>
      <c r="I17" s="5">
        <f t="shared" si="2"/>
        <v>5.8159509202453989E-2</v>
      </c>
      <c r="J17" s="27">
        <f t="shared" si="2"/>
        <v>5.3328137178487917E-2</v>
      </c>
      <c r="K17" s="72"/>
      <c r="L17" s="2"/>
      <c r="M17" s="2"/>
      <c r="N17" s="2"/>
      <c r="O17" s="1"/>
      <c r="P17" s="1"/>
      <c r="Q17" s="1"/>
      <c r="R17" s="1"/>
    </row>
    <row r="18" spans="1:18" ht="22" customHeight="1" x14ac:dyDescent="0.2">
      <c r="A18" s="22" t="s">
        <v>17</v>
      </c>
      <c r="B18" s="23">
        <v>-14038000000</v>
      </c>
      <c r="C18" s="23">
        <v>-1094000000</v>
      </c>
      <c r="D18" s="23">
        <v>4015000000</v>
      </c>
      <c r="E18" s="24">
        <v>6165000000</v>
      </c>
      <c r="F18" s="66">
        <v>809300000</v>
      </c>
      <c r="G18" s="66">
        <v>2661000000</v>
      </c>
      <c r="H18" s="66">
        <v>5868000000</v>
      </c>
      <c r="I18" s="66">
        <v>7637000000</v>
      </c>
      <c r="J18" s="66">
        <v>9088000000</v>
      </c>
      <c r="K18" s="67" t="s">
        <v>21</v>
      </c>
      <c r="L18" s="2"/>
      <c r="M18" s="2"/>
      <c r="N18" s="2"/>
      <c r="P18" s="1"/>
      <c r="Q18" s="1"/>
      <c r="R18" s="1"/>
    </row>
    <row r="19" spans="1:18" ht="22" customHeight="1" x14ac:dyDescent="0.2">
      <c r="A19" s="31"/>
      <c r="B19" s="29"/>
      <c r="C19" s="29">
        <f t="shared" ref="C19:J19" si="3">(C18/B18)-1</f>
        <v>-0.92206867075081922</v>
      </c>
      <c r="D19" s="29">
        <f t="shared" si="3"/>
        <v>-4.6700182815356488</v>
      </c>
      <c r="E19" s="30">
        <f t="shared" si="3"/>
        <v>0.53549190535491897</v>
      </c>
      <c r="F19" s="29">
        <f t="shared" si="3"/>
        <v>-0.86872668288726684</v>
      </c>
      <c r="G19" s="29">
        <f t="shared" si="3"/>
        <v>2.2880266897318671</v>
      </c>
      <c r="H19" s="29">
        <f t="shared" si="3"/>
        <v>1.2051860202931231</v>
      </c>
      <c r="I19" s="29">
        <f t="shared" si="3"/>
        <v>0.30146557600545321</v>
      </c>
      <c r="J19" s="30">
        <f t="shared" si="3"/>
        <v>0.18999607175592503</v>
      </c>
      <c r="K19" s="70">
        <f>AVERAGE(F19:J19)</f>
        <v>0.62318953497982033</v>
      </c>
      <c r="L19" s="2"/>
      <c r="M19" s="2"/>
      <c r="N19" s="2"/>
      <c r="O19" s="1"/>
      <c r="P19" s="1"/>
      <c r="Q19" s="1"/>
      <c r="R19" s="1"/>
    </row>
    <row r="20" spans="1:18" ht="22" customHeight="1" x14ac:dyDescent="0.2">
      <c r="A20" s="34" t="s">
        <v>8</v>
      </c>
      <c r="B20" s="35">
        <f t="shared" ref="B20:J20" si="4">B18/B10</f>
        <v>-0.24137693868427387</v>
      </c>
      <c r="C20" s="35">
        <f t="shared" si="4"/>
        <v>-1.7564139614038469E-2</v>
      </c>
      <c r="D20" s="35">
        <f t="shared" si="4"/>
        <v>6.0278044679317799E-2</v>
      </c>
      <c r="E20" s="36">
        <f t="shared" si="4"/>
        <v>7.9247756896418747E-2</v>
      </c>
      <c r="F20" s="35">
        <f t="shared" si="4"/>
        <v>1.1013131931686739E-2</v>
      </c>
      <c r="G20" s="35">
        <f t="shared" si="4"/>
        <v>2.9171234378425785E-2</v>
      </c>
      <c r="H20" s="35">
        <f t="shared" si="4"/>
        <v>5.6860465116279069E-2</v>
      </c>
      <c r="I20" s="35">
        <f t="shared" si="4"/>
        <v>6.6932515337423309E-2</v>
      </c>
      <c r="J20" s="36">
        <f t="shared" si="4"/>
        <v>7.0833982852689006E-2</v>
      </c>
      <c r="K20" s="73"/>
      <c r="L20" s="2"/>
      <c r="M20" s="2"/>
      <c r="N20" s="2"/>
      <c r="O20" s="1"/>
      <c r="P20" s="1"/>
      <c r="Q20" s="1"/>
      <c r="R20" s="1"/>
    </row>
    <row r="21" spans="1:18" ht="22" customHeight="1" x14ac:dyDescent="0.2">
      <c r="A21" s="22" t="s">
        <v>31</v>
      </c>
      <c r="B21" s="23">
        <v>564500000</v>
      </c>
      <c r="C21" s="23">
        <v>587700000</v>
      </c>
      <c r="D21" s="23">
        <v>596000000</v>
      </c>
      <c r="E21" s="24">
        <v>605000000</v>
      </c>
      <c r="F21" s="23"/>
      <c r="G21" s="23"/>
      <c r="H21" s="23"/>
      <c r="I21" s="23"/>
      <c r="J21" s="24"/>
      <c r="K21" s="67" t="s">
        <v>27</v>
      </c>
      <c r="L21" s="2"/>
      <c r="M21" s="2"/>
      <c r="N21" s="2"/>
      <c r="P21" s="1"/>
      <c r="Q21" s="1"/>
      <c r="R21" s="1"/>
    </row>
    <row r="22" spans="1:18" ht="22" customHeight="1" x14ac:dyDescent="0.2">
      <c r="A22" s="31"/>
      <c r="B22" s="29"/>
      <c r="C22" s="32">
        <f t="shared" ref="C22" si="5">(C21/B21)-1</f>
        <v>4.1098317094774073E-2</v>
      </c>
      <c r="D22" s="32">
        <f t="shared" ref="D22" si="6">(D21/C21)-1</f>
        <v>1.4122851795133506E-2</v>
      </c>
      <c r="E22" s="33">
        <f t="shared" ref="E22" si="7">(E21/D21)-1</f>
        <v>1.5100671140939603E-2</v>
      </c>
      <c r="F22" s="29"/>
      <c r="G22" s="29"/>
      <c r="H22" s="29"/>
      <c r="I22" s="29"/>
      <c r="J22" s="30"/>
      <c r="K22" s="74">
        <f>AVERAGE(C22:E22)</f>
        <v>2.3440613343615729E-2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Aerospace &amp; Defense</v>
      </c>
      <c r="B25" s="61"/>
      <c r="C25" s="61"/>
      <c r="D25" s="62" cm="1">
        <f t="array" aca="1" ref="D25" ca="1">_FV(A1,"Year incorporated",TRUE)</f>
        <v>1934</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2024-11-08T07:28:45Z</dcterms:modified>
</cp:coreProperties>
</file>