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6A8B7676-E2BA-AD49-AAF1-B95103CE61D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<sst xmlns="http://schemas.openxmlformats.org/spreadsheetml/2006/main" count="35" uniqueCount="32">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</sst>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https://www.bing.com/financeapi/forcetrigger?t=a1nqw7&amp;q=XNYS%3aHWM&amp;form=skydnc</v>
    <v>Learn more on Bing</v>
  </rv>
  <rv s="1">
    <v>0</v>
    <v>HOWMET AEROSPACE INC. (XNYS:HWM)</v>
    <v>2</v>
    <v>3</v>
    <v>Finance</v>
    <v>4</v>
    <v>en-US</v>
    <v>a1nqw7</v>
    <v>268435456</v>
    <v>1</v>
    <v>Powered by Refinitiv</v>
    <v>106.9299</v>
    <v>43.19</v>
    <v>1.4691000000000001</v>
    <v>1.05</v>
    <v>1.0490999999999999E-2</v>
    <v>0.51</v>
    <v>5.0429999999999997E-3</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101.35</v>
    <v>Aerospace &amp; Defense</v>
    <v>Stock</v>
    <v>45595.993458274999</v>
    <v>0</v>
    <v>99.81</v>
    <v>41279947124</v>
    <v>HOWMET AEROSPACE INC.</v>
    <v>HOWMET AEROSPACE INC.</v>
    <v>100.1</v>
    <v>44.7239</v>
    <v>100.09</v>
    <v>101.14</v>
    <v>101.65</v>
    <v>408146600</v>
    <v>HWM</v>
    <v>HOWMET AEROSPACE INC. (XNYS:HWM)</v>
    <v>3435035</v>
    <v>1931911</v>
    <v>2017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H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29" sqref="H29"/>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101.14</v>
      </c>
      <c r="B3" s="6" t="s">
        <v>22</v>
      </c>
      <c r="C3" s="49">
        <f ca="1">A5/F10</f>
        <v>5.5357311417460107</v>
      </c>
      <c r="D3" s="9" t="s">
        <v>26</v>
      </c>
      <c r="E3" s="52">
        <f>E14</f>
        <v>0.27936746987951805</v>
      </c>
      <c r="F3" s="9" t="s">
        <v>1</v>
      </c>
      <c r="G3" s="53" cm="1">
        <f t="array" aca="1" ref="G3" ca="1">_FV(A1,"Shares outstanding",TRUE)*(1+(5*C6))</f>
        <v>373321020.43881506</v>
      </c>
      <c r="H3" s="12" t="s">
        <v>4</v>
      </c>
      <c r="I3" s="53">
        <f>J18*(1+K4)/(I6-K4)</f>
        <v>24258333333.333328</v>
      </c>
      <c r="J3" s="9" t="s">
        <v>2</v>
      </c>
      <c r="K3" s="13"/>
      <c r="L3" s="14"/>
      <c r="M3" s="2"/>
      <c r="N3" s="2"/>
      <c r="O3" s="1"/>
      <c r="P3" s="1"/>
      <c r="Q3" s="1"/>
      <c r="R3" s="1"/>
    </row>
    <row r="4" spans="1:18" ht="22" customHeight="1" x14ac:dyDescent="0.2">
      <c r="A4" s="46" cm="1">
        <f t="array" aca="1" ref="A4" ca="1">_FV(A1,"Change (%)",TRUE)</f>
        <v>1.0490999999999999E-2</v>
      </c>
      <c r="B4" s="7" t="s">
        <v>23</v>
      </c>
      <c r="C4" s="49">
        <f ca="1">A5/F15</f>
        <v>38.870006708097925</v>
      </c>
      <c r="D4" s="9" t="s">
        <v>25</v>
      </c>
      <c r="E4" s="52">
        <f>E17</f>
        <v>0.11490963855421686</v>
      </c>
      <c r="F4" s="9" t="s">
        <v>6</v>
      </c>
      <c r="G4" s="63">
        <v>610000000</v>
      </c>
      <c r="H4" s="12" t="s">
        <v>28</v>
      </c>
      <c r="I4" s="53">
        <f>NPV(I6,F18,G18,H18,I18,(J18+I3))</f>
        <v>20206806001.411549</v>
      </c>
      <c r="J4" s="12" t="s">
        <v>5</v>
      </c>
      <c r="K4" s="60">
        <v>2.5000000000000001E-2</v>
      </c>
      <c r="L4" s="15" t="s">
        <v>29</v>
      </c>
      <c r="M4" s="2"/>
      <c r="N4" s="2"/>
      <c r="O4" s="1"/>
      <c r="P4" s="1"/>
      <c r="Q4" s="1"/>
      <c r="R4" s="1"/>
    </row>
    <row r="5" spans="1:18" ht="22" customHeight="1" x14ac:dyDescent="0.2">
      <c r="A5" s="47" cm="1">
        <f t="array" aca="1" ref="A5" ca="1">_FV(A1,"Market cap",TRUE)</f>
        <v>41279947124</v>
      </c>
      <c r="B5" s="7" t="s">
        <v>0</v>
      </c>
      <c r="C5" s="50">
        <f ca="1">F18/A5</f>
        <v>2.4176387556944488E-2</v>
      </c>
      <c r="D5" s="9" t="s">
        <v>24</v>
      </c>
      <c r="E5" s="52">
        <f>E20</f>
        <v>0.10120481927710843</v>
      </c>
      <c r="F5" s="9" t="s">
        <v>8</v>
      </c>
      <c r="G5" s="63">
        <v>3835000000</v>
      </c>
      <c r="H5" s="12" t="s">
        <v>9</v>
      </c>
      <c r="I5" s="53">
        <f>I4+G4-G5</f>
        <v>16981806001.411549</v>
      </c>
      <c r="J5" s="12" t="s">
        <v>7</v>
      </c>
      <c r="K5" s="55">
        <f ca="1">I5/G3</f>
        <v>45.488480615022745</v>
      </c>
      <c r="L5" s="6" t="s">
        <v>11</v>
      </c>
      <c r="M5" s="2"/>
      <c r="N5" s="2"/>
      <c r="O5" s="1"/>
      <c r="P5" s="1"/>
      <c r="Q5" s="1"/>
      <c r="R5" s="1"/>
    </row>
    <row r="6" spans="1:18" ht="22" customHeight="1" x14ac:dyDescent="0.2">
      <c r="A6" s="48" cm="1">
        <f t="array" aca="1" ref="A6" ca="1">_FV(A1,"Beta")</f>
        <v>1.4691000000000001</v>
      </c>
      <c r="B6" s="8" t="s">
        <v>18</v>
      </c>
      <c r="C6" s="51">
        <f>K22</f>
        <v>-1.7065230758352496E-2</v>
      </c>
      <c r="D6" s="10" t="s">
        <v>27</v>
      </c>
      <c r="E6" s="62">
        <v>0.111</v>
      </c>
      <c r="F6" s="11" t="s">
        <v>12</v>
      </c>
      <c r="G6" s="54">
        <f>G4-G5</f>
        <v>-3225000000</v>
      </c>
      <c r="H6" s="11" t="s">
        <v>3</v>
      </c>
      <c r="I6" s="61">
        <v>0.1</v>
      </c>
      <c r="J6" s="10" t="s">
        <v>10</v>
      </c>
      <c r="K6" s="56">
        <f ca="1">K5/A3-1</f>
        <v>-0.55024243014610685</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5259000000</v>
      </c>
      <c r="C10" s="24">
        <v>4972000000</v>
      </c>
      <c r="D10" s="24">
        <v>5663000000</v>
      </c>
      <c r="E10" s="25">
        <v>6640000000</v>
      </c>
      <c r="F10" s="24">
        <v>7457000000</v>
      </c>
      <c r="G10" s="24">
        <v>8129000000</v>
      </c>
      <c r="H10" s="24">
        <v>8850000000</v>
      </c>
      <c r="I10" s="24">
        <v>9468000000</v>
      </c>
      <c r="J10" s="25">
        <v>10963000000</v>
      </c>
      <c r="K10" s="29" t="s">
        <v>19</v>
      </c>
      <c r="L10" s="2"/>
      <c r="M10" s="2"/>
      <c r="N10" s="2"/>
      <c r="O10" s="1"/>
      <c r="P10" s="1"/>
      <c r="Q10" s="1"/>
      <c r="R10" s="1"/>
    </row>
    <row r="11" spans="1:18" ht="22" customHeight="1" x14ac:dyDescent="0.2">
      <c r="A11" s="19"/>
      <c r="B11" s="20"/>
      <c r="C11" s="20">
        <f t="shared" ref="C11:J11" si="0">(C10/B10)-1</f>
        <v>-5.4573112759079723E-2</v>
      </c>
      <c r="D11" s="20">
        <f t="shared" si="0"/>
        <v>0.13897827835880938</v>
      </c>
      <c r="E11" s="26">
        <f t="shared" si="0"/>
        <v>0.17252339749249512</v>
      </c>
      <c r="F11" s="20">
        <f t="shared" si="0"/>
        <v>0.12304216867469875</v>
      </c>
      <c r="G11" s="20">
        <f t="shared" si="0"/>
        <v>9.0116668901703001E-2</v>
      </c>
      <c r="H11" s="20">
        <f t="shared" si="0"/>
        <v>8.8694796407922327E-2</v>
      </c>
      <c r="I11" s="20">
        <f t="shared" si="0"/>
        <v>6.9830508474576281E-2</v>
      </c>
      <c r="J11" s="26">
        <f t="shared" si="0"/>
        <v>0.15790029573299535</v>
      </c>
      <c r="K11" s="30">
        <f>AVERAGE(F11:J11)</f>
        <v>0.10591688763837914</v>
      </c>
      <c r="L11" s="2"/>
      <c r="M11" s="2"/>
      <c r="N11" s="2"/>
      <c r="O11" s="1"/>
      <c r="P11" s="1"/>
      <c r="Q11" s="1"/>
      <c r="R11" s="1"/>
    </row>
    <row r="12" spans="1:18" ht="22" hidden="1" customHeight="1" x14ac:dyDescent="0.2">
      <c r="A12" s="23" t="s">
        <v>30</v>
      </c>
      <c r="B12" s="24">
        <v>1422000000</v>
      </c>
      <c r="C12" s="24">
        <v>1372000000</v>
      </c>
      <c r="D12" s="24">
        <v>1596000000</v>
      </c>
      <c r="E12" s="25">
        <v>1855000000</v>
      </c>
      <c r="F12" s="24"/>
      <c r="G12" s="24"/>
      <c r="H12" s="24"/>
      <c r="I12" s="24"/>
      <c r="J12" s="25"/>
      <c r="K12" s="29"/>
      <c r="L12" s="2"/>
      <c r="M12" s="2"/>
      <c r="N12" s="2"/>
      <c r="O12" s="1"/>
      <c r="P12" s="1"/>
      <c r="Q12" s="1"/>
      <c r="R12" s="1"/>
    </row>
    <row r="13" spans="1:18" ht="22" hidden="1" customHeight="1" x14ac:dyDescent="0.2">
      <c r="A13" s="33"/>
      <c r="B13" s="34"/>
      <c r="C13" s="34">
        <f>(C12/B12)-1</f>
        <v>-3.5161744022503494E-2</v>
      </c>
      <c r="D13" s="34">
        <f>(D12/C12)-1</f>
        <v>0.16326530612244894</v>
      </c>
      <c r="E13" s="35">
        <f>(E12/D12)-1</f>
        <v>0.16228070175438591</v>
      </c>
      <c r="F13" s="34"/>
      <c r="G13" s="34"/>
      <c r="H13" s="34"/>
      <c r="I13" s="34"/>
      <c r="J13" s="35"/>
      <c r="K13" s="36"/>
      <c r="L13" s="2"/>
      <c r="M13" s="2"/>
      <c r="N13" s="2"/>
      <c r="O13" s="1"/>
      <c r="P13" s="1"/>
      <c r="Q13" s="1"/>
      <c r="R13" s="1"/>
    </row>
    <row r="14" spans="1:18" ht="22" hidden="1" customHeight="1" x14ac:dyDescent="0.2">
      <c r="A14" s="21" t="s">
        <v>1</v>
      </c>
      <c r="B14" s="22">
        <f>B12/B10</f>
        <v>0.27039361095265257</v>
      </c>
      <c r="C14" s="22">
        <f>C12/C10</f>
        <v>0.27594529364440867</v>
      </c>
      <c r="D14" s="22">
        <f>D12/D10</f>
        <v>0.28182941903584674</v>
      </c>
      <c r="E14" s="27">
        <f>E12/E10</f>
        <v>0.27936746987951805</v>
      </c>
      <c r="F14" s="22"/>
      <c r="G14" s="22"/>
      <c r="H14" s="22"/>
      <c r="I14" s="22"/>
      <c r="J14" s="27"/>
      <c r="K14" s="31"/>
      <c r="L14" s="2"/>
      <c r="M14" s="2"/>
      <c r="N14" s="2"/>
      <c r="O14" s="1"/>
      <c r="P14" s="1"/>
      <c r="Q14" s="1"/>
      <c r="R14" s="1"/>
    </row>
    <row r="15" spans="1:18" ht="22" customHeight="1" x14ac:dyDescent="0.2">
      <c r="A15" s="23" t="s">
        <v>15</v>
      </c>
      <c r="B15" s="24">
        <v>209000000</v>
      </c>
      <c r="C15" s="24">
        <v>256000000</v>
      </c>
      <c r="D15" s="24">
        <v>467000000</v>
      </c>
      <c r="E15" s="25">
        <v>763000000</v>
      </c>
      <c r="F15" s="24">
        <v>1062000000</v>
      </c>
      <c r="G15" s="24">
        <v>1275000000</v>
      </c>
      <c r="H15" s="24">
        <v>1488000000</v>
      </c>
      <c r="I15" s="24">
        <v>1635000000</v>
      </c>
      <c r="J15" s="24">
        <v>2023000000</v>
      </c>
      <c r="K15" s="29" t="s">
        <v>20</v>
      </c>
      <c r="L15" s="2"/>
      <c r="M15" s="2"/>
      <c r="N15" s="2"/>
      <c r="O15" s="1"/>
      <c r="P15" s="1"/>
      <c r="Q15" s="1"/>
      <c r="R15" s="1"/>
    </row>
    <row r="16" spans="1:18" ht="22" customHeight="1" x14ac:dyDescent="0.2">
      <c r="A16" s="33"/>
      <c r="B16" s="34"/>
      <c r="C16" s="34">
        <f t="shared" ref="C16:J16" si="1">(C15/B15)-1</f>
        <v>0.22488038277511957</v>
      </c>
      <c r="D16" s="34">
        <f t="shared" si="1"/>
        <v>0.82421875</v>
      </c>
      <c r="E16" s="35">
        <f t="shared" si="1"/>
        <v>0.63383297644539605</v>
      </c>
      <c r="F16" s="34">
        <f t="shared" si="1"/>
        <v>0.39187418086500658</v>
      </c>
      <c r="G16" s="34">
        <f t="shared" si="1"/>
        <v>0.20056497175141241</v>
      </c>
      <c r="H16" s="34">
        <f t="shared" si="1"/>
        <v>0.1670588235294117</v>
      </c>
      <c r="I16" s="34">
        <f t="shared" si="1"/>
        <v>9.879032258064524E-2</v>
      </c>
      <c r="J16" s="35">
        <f t="shared" si="1"/>
        <v>0.23730886850152899</v>
      </c>
      <c r="K16" s="36">
        <f>AVERAGE(G16:J16)</f>
        <v>0.17593074659074959</v>
      </c>
      <c r="L16" s="2"/>
      <c r="M16" s="2"/>
      <c r="N16" s="2"/>
      <c r="O16" s="1"/>
      <c r="P16" s="1"/>
      <c r="Q16" s="1"/>
      <c r="R16" s="1"/>
    </row>
    <row r="17" spans="1:18" ht="22" customHeight="1" x14ac:dyDescent="0.2">
      <c r="A17" s="4" t="s">
        <v>16</v>
      </c>
      <c r="B17" s="5">
        <f t="shared" ref="B17:J17" si="2">B15/B10</f>
        <v>3.9741395702605056E-2</v>
      </c>
      <c r="C17" s="5">
        <f t="shared" si="2"/>
        <v>5.1488334674175379E-2</v>
      </c>
      <c r="D17" s="5">
        <f t="shared" si="2"/>
        <v>8.2465124492318562E-2</v>
      </c>
      <c r="E17" s="28">
        <f t="shared" si="2"/>
        <v>0.11490963855421686</v>
      </c>
      <c r="F17" s="5">
        <f t="shared" si="2"/>
        <v>0.14241652138929864</v>
      </c>
      <c r="G17" s="5">
        <f t="shared" si="2"/>
        <v>0.15684586049944643</v>
      </c>
      <c r="H17" s="5">
        <f t="shared" si="2"/>
        <v>0.168135593220339</v>
      </c>
      <c r="I17" s="5">
        <f t="shared" si="2"/>
        <v>0.17268694550063371</v>
      </c>
      <c r="J17" s="28">
        <f t="shared" si="2"/>
        <v>0.18452978199397976</v>
      </c>
      <c r="K17" s="32"/>
      <c r="L17" s="2"/>
      <c r="M17" s="2"/>
      <c r="N17" s="2"/>
      <c r="O17" s="1"/>
      <c r="P17" s="1"/>
      <c r="Q17" s="1"/>
      <c r="R17" s="1"/>
    </row>
    <row r="18" spans="1:18" ht="22" customHeight="1" x14ac:dyDescent="0.2">
      <c r="A18" s="23" t="s">
        <v>17</v>
      </c>
      <c r="B18" s="24">
        <v>1019000000</v>
      </c>
      <c r="C18" s="24">
        <v>696000000</v>
      </c>
      <c r="D18" s="24">
        <v>708000000</v>
      </c>
      <c r="E18" s="25">
        <v>672000000</v>
      </c>
      <c r="F18" s="24">
        <v>998000000</v>
      </c>
      <c r="G18" s="24">
        <v>1168000000</v>
      </c>
      <c r="H18" s="24">
        <v>1395000000</v>
      </c>
      <c r="I18" s="24">
        <v>1642000000</v>
      </c>
      <c r="J18" s="25">
        <v>1775000000</v>
      </c>
      <c r="K18" s="29" t="s">
        <v>21</v>
      </c>
      <c r="L18" s="2"/>
      <c r="M18" s="2"/>
      <c r="N18" s="2"/>
      <c r="P18" s="1"/>
      <c r="Q18" s="1"/>
      <c r="R18" s="1"/>
    </row>
    <row r="19" spans="1:18" ht="22" customHeight="1" x14ac:dyDescent="0.2">
      <c r="A19" s="37"/>
      <c r="B19" s="34"/>
      <c r="C19" s="34">
        <f t="shared" ref="C19:J19" si="3">(C18/B18)-1</f>
        <v>-0.31697742885181546</v>
      </c>
      <c r="D19" s="34">
        <f t="shared" si="3"/>
        <v>1.7241379310344751E-2</v>
      </c>
      <c r="E19" s="35">
        <f t="shared" si="3"/>
        <v>-5.084745762711862E-2</v>
      </c>
      <c r="F19" s="34">
        <f t="shared" si="3"/>
        <v>0.48511904761904767</v>
      </c>
      <c r="G19" s="34">
        <f t="shared" si="3"/>
        <v>0.17034068136272551</v>
      </c>
      <c r="H19" s="34">
        <f t="shared" si="3"/>
        <v>0.19434931506849318</v>
      </c>
      <c r="I19" s="34">
        <f t="shared" si="3"/>
        <v>0.17706093189964167</v>
      </c>
      <c r="J19" s="35">
        <f t="shared" si="3"/>
        <v>8.0998781973203426E-2</v>
      </c>
      <c r="K19" s="36">
        <f>AVERAGE(G19:J19)</f>
        <v>0.15568742757601595</v>
      </c>
      <c r="L19" s="2"/>
      <c r="M19" s="2"/>
      <c r="N19" s="2"/>
      <c r="O19" s="1"/>
      <c r="P19" s="1"/>
      <c r="Q19" s="1"/>
      <c r="R19" s="1"/>
    </row>
    <row r="20" spans="1:18" ht="22" customHeight="1" x14ac:dyDescent="0.2">
      <c r="A20" s="41" t="s">
        <v>8</v>
      </c>
      <c r="B20" s="42">
        <f t="shared" ref="B20:J20" si="4">B18/B10</f>
        <v>0.19376307282753374</v>
      </c>
      <c r="C20" s="42">
        <f t="shared" si="4"/>
        <v>0.13998390989541432</v>
      </c>
      <c r="D20" s="42">
        <f t="shared" si="4"/>
        <v>0.12502207310612751</v>
      </c>
      <c r="E20" s="43">
        <f t="shared" si="4"/>
        <v>0.10120481927710843</v>
      </c>
      <c r="F20" s="42">
        <f t="shared" si="4"/>
        <v>0.13383398149389836</v>
      </c>
      <c r="G20" s="42">
        <f t="shared" si="4"/>
        <v>0.14368310985361052</v>
      </c>
      <c r="H20" s="42">
        <f t="shared" si="4"/>
        <v>0.15762711864406781</v>
      </c>
      <c r="I20" s="42">
        <f t="shared" si="4"/>
        <v>0.17342627798901564</v>
      </c>
      <c r="J20" s="43">
        <f t="shared" si="4"/>
        <v>0.1619082367964973</v>
      </c>
      <c r="K20" s="44"/>
      <c r="L20" s="2"/>
      <c r="M20" s="2"/>
      <c r="N20" s="2"/>
      <c r="O20" s="1"/>
      <c r="P20" s="1"/>
      <c r="Q20" s="1"/>
      <c r="R20" s="1"/>
    </row>
    <row r="21" spans="1:18" ht="22" hidden="1" customHeight="1" x14ac:dyDescent="0.2">
      <c r="A21" s="23" t="s">
        <v>31</v>
      </c>
      <c r="B21" s="24">
        <v>433600000</v>
      </c>
      <c r="C21" s="24">
        <v>427200000</v>
      </c>
      <c r="D21" s="24">
        <v>413700000</v>
      </c>
      <c r="E21" s="25">
        <v>411700000</v>
      </c>
      <c r="F21" s="24"/>
      <c r="G21" s="24"/>
      <c r="H21" s="24"/>
      <c r="I21" s="24"/>
      <c r="J21" s="25"/>
      <c r="K21" s="29" t="s">
        <v>27</v>
      </c>
      <c r="L21" s="2"/>
      <c r="M21" s="2"/>
      <c r="N21" s="2"/>
      <c r="P21" s="1"/>
      <c r="Q21" s="1"/>
      <c r="R21" s="1"/>
    </row>
    <row r="22" spans="1:18" ht="22" hidden="1" customHeight="1" x14ac:dyDescent="0.2">
      <c r="A22" s="37"/>
      <c r="B22" s="34"/>
      <c r="C22" s="38">
        <f t="shared" ref="C22" si="5">(C21/B21)-1</f>
        <v>-1.4760147601476037E-2</v>
      </c>
      <c r="D22" s="38">
        <f t="shared" ref="D22" si="6">(D21/C21)-1</f>
        <v>-3.1601123595505598E-2</v>
      </c>
      <c r="E22" s="39">
        <f t="shared" ref="E22" si="7">(E21/D21)-1</f>
        <v>-4.8344210780758567E-3</v>
      </c>
      <c r="F22" s="34"/>
      <c r="G22" s="34"/>
      <c r="H22" s="34"/>
      <c r="I22" s="34"/>
      <c r="J22" s="35"/>
      <c r="K22" s="40">
        <f>AVERAGE(C22:E22)</f>
        <v>-1.7065230758352496E-2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Aerospace &amp; Defense</v>
      </c>
      <c r="B25" s="69"/>
      <c r="C25" s="69"/>
      <c r="D25" s="70" cm="1">
        <f t="array" aca="1" ref="D25" ca="1">_FV(A1,"Year incorporated",TRUE)</f>
        <v>2017</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HWM/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2024-10-31T07:13:57Z</dcterms:modified>
</cp:coreProperties>
</file>