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88D406BE-51A7-044C-824A-8066E4D238D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I3" i="1"/>
  <c r="I4" i="1" s="1"/>
  <c r="I5" i="1" s="1"/>
  <c r="A4" i="1" a="1"/>
  <c r="A4" i="1" s="1"/>
  <c r="A5" i="1" a="1"/>
  <c r="A5" i="1" s="1"/>
  <c r="A6" i="1" a="1"/>
  <c r="A6" i="1" s="1"/>
  <c r="G6" i="1"/>
  <c r="I11" i="1"/>
  <c r="J11" i="1"/>
  <c r="E22" i="1"/>
  <c r="D22" i="1"/>
  <c r="C22" i="1"/>
  <c r="B14" i="1"/>
  <c r="C14" i="1"/>
  <c r="D14" i="1"/>
  <c r="E14" i="1"/>
  <c r="E3" i="1" s="1"/>
  <c r="E13" i="1"/>
  <c r="D13" i="1"/>
  <c r="C13"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K16" i="1" s="1"/>
  <c r="G16" i="1"/>
  <c r="F16" i="1"/>
  <c r="E16" i="1"/>
  <c r="D16" i="1"/>
  <c r="C16" i="1"/>
  <c r="H11" i="1"/>
  <c r="G11" i="1"/>
  <c r="F11" i="1"/>
  <c r="E11" i="1"/>
  <c r="D11" i="1"/>
  <c r="C11" i="1"/>
  <c r="K19" i="1" l="1"/>
  <c r="K11" i="1"/>
  <c r="C4" i="1"/>
  <c r="C3" i="1"/>
  <c r="C5" i="1"/>
  <c r="K22" i="1"/>
  <c r="G3" i="1" s="1" a="1"/>
  <c r="G3"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<sst xmlns="http://schemas.openxmlformats.org/spreadsheetml/2006/main" count="35" uniqueCount="32">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</sst>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25639000</c:v>
                </c:pt>
                <c:pt idx="1">
                  <c:v>30262000</c:v>
                </c:pt>
                <c:pt idx="2">
                  <c:v>93459000</c:v>
                </c:pt>
                <c:pt idx="3">
                  <c:v>241600000</c:v>
                </c:pt>
                <c:pt idx="4">
                  <c:v>439000000</c:v>
                </c:pt>
                <c:pt idx="5">
                  <c:v>569000000</c:v>
                </c:pt>
                <c:pt idx="6">
                  <c:v>678000000</c:v>
                </c:pt>
                <c:pt idx="7">
                  <c:v>827000000</c:v>
                </c:pt>
                <c:pt idx="8">
                  <c:v>967000000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-28000000</c:v>
                </c:pt>
                <c:pt idx="1">
                  <c:v>-44000000</c:v>
                </c:pt>
                <c:pt idx="2">
                  <c:v>-36000000</c:v>
                </c:pt>
                <c:pt idx="3">
                  <c:v>-25000000</c:v>
                </c:pt>
                <c:pt idx="4">
                  <c:v>35000000</c:v>
                </c:pt>
                <c:pt idx="5">
                  <c:v>66000000</c:v>
                </c:pt>
                <c:pt idx="6">
                  <c:v>97000000</c:v>
                </c:pt>
                <c:pt idx="7">
                  <c:v>138000000</c:v>
                </c:pt>
                <c:pt idx="8">
                  <c:v>179000000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-27000000</c:v>
                </c:pt>
                <c:pt idx="1">
                  <c:v>-29000000</c:v>
                </c:pt>
                <c:pt idx="2">
                  <c:v>-61000000</c:v>
                </c:pt>
                <c:pt idx="3">
                  <c:v>-177000000</c:v>
                </c:pt>
                <c:pt idx="4">
                  <c:v>-47000000</c:v>
                </c:pt>
                <c:pt idx="5">
                  <c:v>49000000</c:v>
                </c:pt>
                <c:pt idx="6">
                  <c:v>106000000</c:v>
                </c:pt>
                <c:pt idx="7">
                  <c:v>165000000</c:v>
                </c:pt>
                <c:pt idx="8">
                  <c:v>220000000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196850</xdr:rowOff>
    </xdr:from>
    <xdr:to>
      <xdr:col>10</xdr:col>
      <xdr:colOff>850900</xdr:colOff>
      <xdr:row>35</xdr:row>
      <xdr:rowOff>203200</xdr:rowOff>
    </xdr:to>
    <xdr:graphicFrame macro="">
      <xdr:nvGraphicFramePr>
        <xdr:cNvPr id="2" name="Chart 1">
          <a:extLst>
            <a:ext uri="{FF2B5EF4-FFF2-40B4-BE49-F238E27FC236}">
              <a16:creationId xmlns:a16="http://schemas.microsoft.com/office/drawing/2014/main" id="{0D7B24AB-EBFA-057A-913E-BF93C72B4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https://www.bing.com/financeapi/forcetrigger?t=bpoxsm&amp;q=XNAS%3aTMDX&amp;form=skydnc</v>
    <v>Learn more on Bing</v>
  </rv>
  <rv s="1">
    <v>0</v>
    <v>TransMedics Group, Inc. (XNAS:TMDX)</v>
    <v>2</v>
    <v>3</v>
    <v>Finance</v>
    <v>4</v>
    <v>en-US</v>
    <v>bpoxsm</v>
    <v>268435456</v>
    <v>1</v>
    <v>Powered by Refinitiv</v>
    <v>177.37</v>
    <v>55.29</v>
    <v>2.0775999999999999</v>
    <v>3.35</v>
    <v>4.0361000000000001E-2</v>
    <v>USD</v>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v>584</v>
    <v>Nasdaq Stock Market</v>
    <v>XNAS</v>
    <v>XNAS</v>
    <v>200 Minuteman Road, ANDOVER, MA, 01810 US</v>
    <v>87.2</v>
    <v>Healthcare Equipment &amp; Supplies</v>
    <v>Stock</v>
    <v>45602.914617476563</v>
    <v>0</v>
    <v>83.13</v>
    <v>2898037252</v>
    <v>TransMedics Group, Inc.</v>
    <v>TransMedics Group, Inc.</v>
    <v>84.62</v>
    <v>91.970299999999995</v>
    <v>83</v>
    <v>86.35</v>
    <v>33561520</v>
    <v>TMDX</v>
    <v>TransMedics Group, Inc. (XNAS:TMDX)</v>
    <v>706</v>
    <v>1803663</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M:TMDX/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8" sqref="D8"/>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71" t="e" vm="1">
        <v>#VALUE!</v>
      </c>
      <c r="B1" s="71"/>
      <c r="C1" s="71"/>
      <c r="D1" s="71"/>
    </row>
    <row r="2" spans="1:18" s="17" customFormat="1" ht="22" customHeight="1" x14ac:dyDescent="0.2">
      <c r="A2" s="72"/>
      <c r="B2" s="72"/>
      <c r="C2" s="72"/>
      <c r="D2" s="72"/>
      <c r="E2" s="52"/>
      <c r="F2" s="52"/>
      <c r="G2" s="52"/>
      <c r="H2" s="52"/>
      <c r="I2" s="52"/>
      <c r="J2" s="52"/>
    </row>
    <row r="3" spans="1:18" ht="22" customHeight="1" x14ac:dyDescent="0.2">
      <c r="A3" s="38" cm="1">
        <f t="array" aca="1" ref="A3" ca="1">_FV(A1,"Price")</f>
        <v>86.35</v>
      </c>
      <c r="B3" s="6" t="s">
        <v>22</v>
      </c>
      <c r="C3" s="42">
        <f ca="1">A5/F10</f>
        <v>6.6014515990888381</v>
      </c>
      <c r="D3" s="9" t="s">
        <v>26</v>
      </c>
      <c r="E3" s="45">
        <f>E14</f>
        <v>0.63783112582781454</v>
      </c>
      <c r="F3" s="9" t="s">
        <v>1</v>
      </c>
      <c r="G3" s="46" cm="1">
        <f t="array" aca="1" ref="G3" ca="1">_FV(A1,"Shares outstanding",TRUE)*(1+(5*C6))</f>
        <v>41951900</v>
      </c>
      <c r="H3" s="12" t="s">
        <v>4</v>
      </c>
      <c r="I3" s="46">
        <f>J18*(1+K4)/(I6-K4)</f>
        <v>3006666666.666666</v>
      </c>
      <c r="J3" s="9" t="s">
        <v>2</v>
      </c>
      <c r="K3" s="13"/>
      <c r="L3" s="14"/>
      <c r="M3" s="2"/>
      <c r="N3" s="2"/>
      <c r="O3" s="1"/>
      <c r="P3" s="1"/>
      <c r="Q3" s="1"/>
      <c r="R3" s="1"/>
    </row>
    <row r="4" spans="1:18" ht="22" customHeight="1" x14ac:dyDescent="0.2">
      <c r="A4" s="39" cm="1">
        <f t="array" aca="1" ref="A4" ca="1">_FV(A1,"Change (%)",TRUE)</f>
        <v>4.0361000000000001E-2</v>
      </c>
      <c r="B4" s="7" t="s">
        <v>23</v>
      </c>
      <c r="C4" s="42">
        <f ca="1">A5/F15</f>
        <v>82.801064342857146</v>
      </c>
      <c r="D4" s="9" t="s">
        <v>25</v>
      </c>
      <c r="E4" s="45">
        <f>F17</f>
        <v>7.9726651480637817E-2</v>
      </c>
      <c r="F4" s="9" t="s">
        <v>6</v>
      </c>
      <c r="G4" s="56">
        <v>395000000</v>
      </c>
      <c r="H4" s="12" t="s">
        <v>28</v>
      </c>
      <c r="I4" s="46">
        <f>NPV(I6,F18,G18,H18,I18,(J18+I3))</f>
        <v>2193611319.8096657</v>
      </c>
      <c r="J4" s="12" t="s">
        <v>5</v>
      </c>
      <c r="K4" s="53">
        <v>2.5000000000000001E-2</v>
      </c>
      <c r="L4" s="15" t="s">
        <v>29</v>
      </c>
      <c r="M4" s="2"/>
      <c r="N4" s="2"/>
      <c r="O4" s="1"/>
      <c r="P4" s="1"/>
      <c r="Q4" s="1"/>
      <c r="R4" s="1"/>
    </row>
    <row r="5" spans="1:18" ht="22" customHeight="1" x14ac:dyDescent="0.2">
      <c r="A5" s="40" cm="1">
        <f t="array" aca="1" ref="A5" ca="1">_FV(A1,"Market cap",TRUE)</f>
        <v>2898037252</v>
      </c>
      <c r="B5" s="7" t="s">
        <v>0</v>
      </c>
      <c r="C5" s="43">
        <f ca="1">F18/A5</f>
        <v>-1.6217872964733027E-2</v>
      </c>
      <c r="D5" s="9" t="s">
        <v>24</v>
      </c>
      <c r="E5" s="45">
        <f>F20</f>
        <v>-0.1070615034168565</v>
      </c>
      <c r="F5" s="9" t="s">
        <v>8</v>
      </c>
      <c r="G5" s="56">
        <v>515900000</v>
      </c>
      <c r="H5" s="12" t="s">
        <v>9</v>
      </c>
      <c r="I5" s="46">
        <f>I4+G4-G5</f>
        <v>2072711319.8096657</v>
      </c>
      <c r="J5" s="12" t="s">
        <v>7</v>
      </c>
      <c r="K5" s="48">
        <f ca="1">I5/G3</f>
        <v>49.406852128501107</v>
      </c>
      <c r="L5" s="6" t="s">
        <v>11</v>
      </c>
      <c r="M5" s="2"/>
      <c r="N5" s="2"/>
      <c r="O5" s="1"/>
      <c r="P5" s="1"/>
      <c r="Q5" s="1"/>
      <c r="R5" s="1"/>
    </row>
    <row r="6" spans="1:18" ht="22" customHeight="1" x14ac:dyDescent="0.2">
      <c r="A6" s="41" cm="1">
        <f t="array" aca="1" ref="A6" ca="1">_FV(A1,"Beta")</f>
        <v>2.0775999999999999</v>
      </c>
      <c r="B6" s="8" t="s">
        <v>18</v>
      </c>
      <c r="C6" s="44">
        <v>0.05</v>
      </c>
      <c r="D6" s="10" t="s">
        <v>27</v>
      </c>
      <c r="E6" s="55">
        <v>1E-3</v>
      </c>
      <c r="F6" s="11" t="s">
        <v>12</v>
      </c>
      <c r="G6" s="47">
        <f>G4-G5</f>
        <v>-120900000</v>
      </c>
      <c r="H6" s="11" t="s">
        <v>3</v>
      </c>
      <c r="I6" s="54">
        <v>0.1</v>
      </c>
      <c r="J6" s="10" t="s">
        <v>10</v>
      </c>
      <c r="K6" s="49">
        <f ca="1">K5/A3-1</f>
        <v>-0.42783031698319507</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0"/>
      <c r="B8" s="51"/>
      <c r="C8" s="51"/>
      <c r="D8" s="51"/>
      <c r="E8" s="51"/>
      <c r="F8" s="51"/>
      <c r="G8" s="51"/>
      <c r="H8" s="51"/>
      <c r="I8" s="51"/>
      <c r="J8" s="14"/>
      <c r="K8" s="2"/>
      <c r="L8" s="2"/>
      <c r="M8" s="2"/>
      <c r="N8" s="2"/>
      <c r="O8" s="1"/>
      <c r="P8" s="1"/>
      <c r="Q8" s="1"/>
      <c r="R8" s="1"/>
    </row>
    <row r="9" spans="1:18" ht="22" customHeight="1" x14ac:dyDescent="0.2">
      <c r="A9" s="57"/>
      <c r="B9" s="58">
        <v>2020</v>
      </c>
      <c r="C9" s="58">
        <v>2021</v>
      </c>
      <c r="D9" s="58">
        <v>2022</v>
      </c>
      <c r="E9" s="59">
        <v>2023</v>
      </c>
      <c r="F9" s="60">
        <v>2024</v>
      </c>
      <c r="G9" s="60">
        <v>2025</v>
      </c>
      <c r="H9" s="60">
        <v>2026</v>
      </c>
      <c r="I9" s="60">
        <v>2027</v>
      </c>
      <c r="J9" s="61">
        <v>2028</v>
      </c>
      <c r="K9" s="14"/>
      <c r="L9" s="2"/>
      <c r="M9" s="2"/>
      <c r="N9" s="2"/>
      <c r="O9" s="1"/>
      <c r="P9" s="1"/>
      <c r="Q9" s="1"/>
      <c r="R9" s="1"/>
    </row>
    <row r="10" spans="1:18" ht="22" customHeight="1" x14ac:dyDescent="0.2">
      <c r="A10" s="23" t="s">
        <v>14</v>
      </c>
      <c r="B10" s="24">
        <v>25639000</v>
      </c>
      <c r="C10" s="24">
        <v>30262000</v>
      </c>
      <c r="D10" s="24">
        <v>93459000</v>
      </c>
      <c r="E10" s="25">
        <v>241600000</v>
      </c>
      <c r="F10" s="62">
        <v>439000000</v>
      </c>
      <c r="G10" s="62">
        <v>569000000</v>
      </c>
      <c r="H10" s="62">
        <v>678000000</v>
      </c>
      <c r="I10" s="62">
        <v>827000000</v>
      </c>
      <c r="J10" s="62">
        <v>967000000</v>
      </c>
      <c r="K10" s="63" t="s">
        <v>19</v>
      </c>
      <c r="L10" s="2"/>
      <c r="M10" s="2"/>
      <c r="N10" s="2"/>
      <c r="O10" s="1"/>
      <c r="P10" s="1"/>
      <c r="Q10" s="1"/>
      <c r="R10" s="1"/>
    </row>
    <row r="11" spans="1:18" ht="22" customHeight="1" x14ac:dyDescent="0.2">
      <c r="A11" s="19"/>
      <c r="B11" s="20"/>
      <c r="C11" s="20">
        <f t="shared" ref="C11:I11" si="0">(C10/B10)-1</f>
        <v>0.18031124458832237</v>
      </c>
      <c r="D11" s="20">
        <f t="shared" si="0"/>
        <v>2.0883285969202299</v>
      </c>
      <c r="E11" s="26">
        <f t="shared" si="0"/>
        <v>1.5850907884740901</v>
      </c>
      <c r="F11" s="20">
        <f t="shared" si="0"/>
        <v>0.81705298013245042</v>
      </c>
      <c r="G11" s="20">
        <f t="shared" si="0"/>
        <v>0.29612756264236895</v>
      </c>
      <c r="H11" s="20">
        <f t="shared" si="0"/>
        <v>0.19156414762741658</v>
      </c>
      <c r="I11" s="20">
        <f t="shared" si="0"/>
        <v>0.21976401179940996</v>
      </c>
      <c r="J11" s="26">
        <f t="shared" ref="J11" si="1">(J10/I10)-1</f>
        <v>0.16928657799274482</v>
      </c>
      <c r="K11" s="64">
        <f>AVERAGE(F11:J11)</f>
        <v>0.33875905603887813</v>
      </c>
      <c r="L11" s="2"/>
      <c r="M11" s="2"/>
      <c r="N11" s="2"/>
      <c r="O11" s="1"/>
      <c r="P11" s="1"/>
      <c r="Q11" s="1"/>
      <c r="R11" s="1"/>
    </row>
    <row r="12" spans="1:18" ht="22" customHeight="1" x14ac:dyDescent="0.2">
      <c r="A12" s="23" t="s">
        <v>30</v>
      </c>
      <c r="B12" s="24">
        <v>16000000</v>
      </c>
      <c r="C12" s="24">
        <v>21000000</v>
      </c>
      <c r="D12" s="24">
        <v>65000000</v>
      </c>
      <c r="E12" s="25">
        <v>154100000</v>
      </c>
      <c r="F12" s="24"/>
      <c r="G12" s="24"/>
      <c r="H12" s="24"/>
      <c r="I12" s="24"/>
      <c r="J12" s="25"/>
      <c r="K12" s="65"/>
      <c r="L12" s="2"/>
      <c r="M12" s="2"/>
      <c r="N12" s="2"/>
      <c r="O12" s="1"/>
      <c r="P12" s="1"/>
      <c r="Q12" s="1"/>
      <c r="R12" s="1"/>
    </row>
    <row r="13" spans="1:18" ht="22" customHeight="1" x14ac:dyDescent="0.2">
      <c r="A13" s="29"/>
      <c r="B13" s="30"/>
      <c r="C13" s="30">
        <f>(C12/B12)-1</f>
        <v>0.3125</v>
      </c>
      <c r="D13" s="30">
        <f>(D12/C12)-1</f>
        <v>2.0952380952380953</v>
      </c>
      <c r="E13" s="31">
        <f>(E12/D12)-1</f>
        <v>1.370769230769231</v>
      </c>
      <c r="F13" s="30"/>
      <c r="G13" s="30"/>
      <c r="H13" s="30"/>
      <c r="I13" s="30"/>
      <c r="J13" s="31"/>
      <c r="K13" s="66"/>
      <c r="L13" s="2"/>
      <c r="M13" s="2"/>
      <c r="N13" s="2"/>
      <c r="O13" s="1"/>
      <c r="P13" s="1"/>
      <c r="Q13" s="1"/>
      <c r="R13" s="1"/>
    </row>
    <row r="14" spans="1:18" ht="22" customHeight="1" x14ac:dyDescent="0.2">
      <c r="A14" s="21" t="s">
        <v>1</v>
      </c>
      <c r="B14" s="22">
        <f>B12/B10</f>
        <v>0.62404929989469171</v>
      </c>
      <c r="C14" s="22">
        <f>C12/C10</f>
        <v>0.69393959421056106</v>
      </c>
      <c r="D14" s="22">
        <f>D12/D10</f>
        <v>0.6954921409388074</v>
      </c>
      <c r="E14" s="27">
        <f>E12/E10</f>
        <v>0.63783112582781454</v>
      </c>
      <c r="F14" s="22"/>
      <c r="G14" s="22"/>
      <c r="H14" s="22"/>
      <c r="I14" s="22"/>
      <c r="J14" s="27"/>
      <c r="K14" s="67"/>
      <c r="L14" s="2"/>
      <c r="M14" s="2"/>
      <c r="N14" s="2"/>
      <c r="O14" s="1"/>
      <c r="P14" s="1"/>
      <c r="Q14" s="1"/>
      <c r="R14" s="1"/>
    </row>
    <row r="15" spans="1:18" ht="22" customHeight="1" x14ac:dyDescent="0.2">
      <c r="A15" s="23" t="s">
        <v>15</v>
      </c>
      <c r="B15" s="24">
        <v>-28000000</v>
      </c>
      <c r="C15" s="24">
        <v>-44000000</v>
      </c>
      <c r="D15" s="24">
        <v>-36000000</v>
      </c>
      <c r="E15" s="25">
        <v>-25000000</v>
      </c>
      <c r="F15" s="62">
        <v>35000000</v>
      </c>
      <c r="G15" s="62">
        <v>66000000</v>
      </c>
      <c r="H15" s="62">
        <v>97000000</v>
      </c>
      <c r="I15" s="62">
        <v>138000000</v>
      </c>
      <c r="J15" s="62">
        <v>179000000</v>
      </c>
      <c r="K15" s="63" t="s">
        <v>20</v>
      </c>
      <c r="L15" s="2"/>
      <c r="M15" s="2"/>
      <c r="N15" s="2"/>
      <c r="O15" s="1"/>
      <c r="P15" s="1"/>
      <c r="Q15" s="1"/>
      <c r="R15" s="1"/>
    </row>
    <row r="16" spans="1:18" ht="22" customHeight="1" x14ac:dyDescent="0.2">
      <c r="A16" s="29"/>
      <c r="B16" s="30"/>
      <c r="C16" s="30">
        <f t="shared" ref="C16:J16" si="2">(C15/B15)-1</f>
        <v>0.5714285714285714</v>
      </c>
      <c r="D16" s="30">
        <f t="shared" si="2"/>
        <v>-0.18181818181818177</v>
      </c>
      <c r="E16" s="31">
        <f t="shared" si="2"/>
        <v>-0.30555555555555558</v>
      </c>
      <c r="F16" s="30">
        <f t="shared" si="2"/>
        <v>-2.4</v>
      </c>
      <c r="G16" s="30">
        <f t="shared" si="2"/>
        <v>0.88571428571428568</v>
      </c>
      <c r="H16" s="30">
        <f t="shared" si="2"/>
        <v>0.46969696969696972</v>
      </c>
      <c r="I16" s="30">
        <f t="shared" si="2"/>
        <v>0.42268041237113407</v>
      </c>
      <c r="J16" s="31">
        <f t="shared" si="2"/>
        <v>0.29710144927536231</v>
      </c>
      <c r="K16" s="66">
        <f>AVERAGE(G16:J16)</f>
        <v>0.51879827926443789</v>
      </c>
      <c r="L16" s="2"/>
      <c r="M16" s="2"/>
      <c r="N16" s="2"/>
      <c r="O16" s="1"/>
      <c r="P16" s="1"/>
      <c r="Q16" s="1"/>
      <c r="R16" s="1"/>
    </row>
    <row r="17" spans="1:18" ht="22" customHeight="1" x14ac:dyDescent="0.2">
      <c r="A17" s="4" t="s">
        <v>16</v>
      </c>
      <c r="B17" s="5">
        <f t="shared" ref="B17:J17" si="3">B15/B10</f>
        <v>-1.0920862748157105</v>
      </c>
      <c r="C17" s="5">
        <f t="shared" si="3"/>
        <v>-1.4539686735840327</v>
      </c>
      <c r="D17" s="5">
        <f t="shared" si="3"/>
        <v>-0.38519564728918565</v>
      </c>
      <c r="E17" s="28">
        <f t="shared" si="3"/>
        <v>-0.10347682119205298</v>
      </c>
      <c r="F17" s="5">
        <f t="shared" si="3"/>
        <v>7.9726651480637817E-2</v>
      </c>
      <c r="G17" s="5">
        <f t="shared" si="3"/>
        <v>0.11599297012302284</v>
      </c>
      <c r="H17" s="5">
        <f t="shared" si="3"/>
        <v>0.14306784660766961</v>
      </c>
      <c r="I17" s="5">
        <f t="shared" si="3"/>
        <v>0.16686819830713423</v>
      </c>
      <c r="J17" s="28">
        <f t="shared" si="3"/>
        <v>0.18510858324715615</v>
      </c>
      <c r="K17" s="68"/>
      <c r="L17" s="2"/>
      <c r="M17" s="2"/>
      <c r="N17" s="2"/>
      <c r="O17" s="1"/>
      <c r="P17" s="1"/>
      <c r="Q17" s="1"/>
      <c r="R17" s="1"/>
    </row>
    <row r="18" spans="1:18" ht="22" customHeight="1" x14ac:dyDescent="0.2">
      <c r="A18" s="23" t="s">
        <v>17</v>
      </c>
      <c r="B18" s="24">
        <v>-27000000</v>
      </c>
      <c r="C18" s="24">
        <v>-29000000</v>
      </c>
      <c r="D18" s="24">
        <v>-61000000</v>
      </c>
      <c r="E18" s="25">
        <v>-177000000</v>
      </c>
      <c r="F18" s="62">
        <v>-47000000</v>
      </c>
      <c r="G18" s="62">
        <v>49000000</v>
      </c>
      <c r="H18" s="62">
        <v>106000000</v>
      </c>
      <c r="I18" s="62">
        <v>165000000</v>
      </c>
      <c r="J18" s="62">
        <v>220000000</v>
      </c>
      <c r="K18" s="63" t="s">
        <v>21</v>
      </c>
      <c r="L18" s="2"/>
      <c r="M18" s="2"/>
      <c r="N18" s="2"/>
      <c r="P18" s="1"/>
      <c r="Q18" s="1"/>
      <c r="R18" s="1"/>
    </row>
    <row r="19" spans="1:18" ht="22" customHeight="1" x14ac:dyDescent="0.2">
      <c r="A19" s="32"/>
      <c r="B19" s="30"/>
      <c r="C19" s="30">
        <f t="shared" ref="C19:J19" si="4">(C18/B18)-1</f>
        <v>7.4074074074074181E-2</v>
      </c>
      <c r="D19" s="30">
        <f t="shared" si="4"/>
        <v>1.103448275862069</v>
      </c>
      <c r="E19" s="31">
        <f t="shared" si="4"/>
        <v>1.901639344262295</v>
      </c>
      <c r="F19" s="30">
        <f t="shared" si="4"/>
        <v>-0.7344632768361582</v>
      </c>
      <c r="G19" s="30">
        <f t="shared" si="4"/>
        <v>-2.042553191489362</v>
      </c>
      <c r="H19" s="30">
        <f t="shared" si="4"/>
        <v>1.1632653061224492</v>
      </c>
      <c r="I19" s="30">
        <f t="shared" si="4"/>
        <v>0.55660377358490565</v>
      </c>
      <c r="J19" s="31">
        <f t="shared" si="4"/>
        <v>0.33333333333333326</v>
      </c>
      <c r="K19" s="66">
        <f>AVERAGE(H19:J19)</f>
        <v>0.68440080434689599</v>
      </c>
      <c r="L19" s="2"/>
      <c r="M19" s="2"/>
      <c r="N19" s="2"/>
      <c r="O19" s="1"/>
      <c r="P19" s="1"/>
      <c r="Q19" s="1"/>
      <c r="R19" s="1"/>
    </row>
    <row r="20" spans="1:18" ht="22" customHeight="1" x14ac:dyDescent="0.2">
      <c r="A20" s="35" t="s">
        <v>8</v>
      </c>
      <c r="B20" s="36">
        <f t="shared" ref="B20:J20" si="5">B18/B10</f>
        <v>-1.0530831935722922</v>
      </c>
      <c r="C20" s="36">
        <f t="shared" si="5"/>
        <v>-0.95829753486220337</v>
      </c>
      <c r="D20" s="36">
        <f t="shared" si="5"/>
        <v>-0.65269262457334232</v>
      </c>
      <c r="E20" s="37">
        <f t="shared" si="5"/>
        <v>-0.73261589403973515</v>
      </c>
      <c r="F20" s="36">
        <f t="shared" si="5"/>
        <v>-0.1070615034168565</v>
      </c>
      <c r="G20" s="36">
        <f t="shared" si="5"/>
        <v>8.6115992970123026E-2</v>
      </c>
      <c r="H20" s="36">
        <f t="shared" si="5"/>
        <v>0.15634218289085547</v>
      </c>
      <c r="I20" s="36">
        <f t="shared" si="5"/>
        <v>0.19951632406287786</v>
      </c>
      <c r="J20" s="37">
        <f t="shared" si="5"/>
        <v>0.22750775594622544</v>
      </c>
      <c r="K20" s="69"/>
      <c r="L20" s="2"/>
      <c r="M20" s="2"/>
      <c r="N20" s="2"/>
      <c r="O20" s="1"/>
      <c r="P20" s="1"/>
      <c r="Q20" s="1"/>
      <c r="R20" s="1"/>
    </row>
    <row r="21" spans="1:18" ht="22" customHeight="1" x14ac:dyDescent="0.2">
      <c r="A21" s="23" t="s">
        <v>31</v>
      </c>
      <c r="B21" s="24">
        <v>27161000</v>
      </c>
      <c r="C21" s="24">
        <v>27768000</v>
      </c>
      <c r="D21" s="24">
        <v>31924000</v>
      </c>
      <c r="E21" s="25">
        <v>32648000</v>
      </c>
      <c r="F21" s="24"/>
      <c r="G21" s="24"/>
      <c r="H21" s="24"/>
      <c r="I21" s="24"/>
      <c r="J21" s="25"/>
      <c r="K21" s="63" t="s">
        <v>27</v>
      </c>
      <c r="L21" s="2"/>
      <c r="M21" s="2"/>
      <c r="N21" s="2"/>
      <c r="P21" s="1"/>
      <c r="Q21" s="1"/>
      <c r="R21" s="1"/>
    </row>
    <row r="22" spans="1:18" ht="22" customHeight="1" x14ac:dyDescent="0.2">
      <c r="A22" s="32"/>
      <c r="B22" s="30"/>
      <c r="C22" s="33">
        <f t="shared" ref="C22" si="6">(C21/B21)-1</f>
        <v>2.2348219874084085E-2</v>
      </c>
      <c r="D22" s="33">
        <f t="shared" ref="D22" si="7">(D21/C21)-1</f>
        <v>0.14966868337654859</v>
      </c>
      <c r="E22" s="34">
        <f t="shared" ref="E22" si="8">(E21/D21)-1</f>
        <v>2.267886229795768E-2</v>
      </c>
      <c r="F22" s="30"/>
      <c r="G22" s="30"/>
      <c r="H22" s="30"/>
      <c r="I22" s="30"/>
      <c r="J22" s="31"/>
      <c r="K22" s="70">
        <f>AVERAGE(C22:E22)</f>
        <v>6.4898588516196787E-2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Healthcare Equipment &amp; Supplies</v>
      </c>
      <c r="B25" s="73"/>
      <c r="C25" s="73"/>
      <c r="D25" s="74" cm="1">
        <f t="array" aca="1" ref="D25" ca="1">_FV(A1,"Year incorporated",TRUE)</f>
        <v>2018</v>
      </c>
      <c r="E25" s="74"/>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5" t="str" cm="1">
        <f t="array" aca="1" ref="A27" ca="1">_FV(A1,"Description")</f>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ASDAQGM:TMDX/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2024-11-07T11:23:51Z</dcterms:modified>
</cp:coreProperties>
</file>