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emics\Class Data\Attendance Backup\Sem1 2020-21\"/>
    </mc:Choice>
  </mc:AlternateContent>
  <bookViews>
    <workbookView xWindow="0" yWindow="0" windowWidth="7470" windowHeight="3750" tabRatio="729"/>
  </bookViews>
  <sheets>
    <sheet name="BCN(Sem1-20-21)" sheetId="15" r:id="rId1"/>
    <sheet name="Student" sheetId="9" state="hidden" r:id="rId2"/>
  </sheets>
  <definedNames>
    <definedName name="_xlnm.Print_Titles" localSheetId="0">'BCN(Sem1-20-21)'!$6:$7</definedName>
  </definedNames>
  <calcPr calcId="152511"/>
</workbook>
</file>

<file path=xl/calcChain.xml><?xml version="1.0" encoding="utf-8"?>
<calcChain xmlns="http://schemas.openxmlformats.org/spreadsheetml/2006/main">
  <c r="CB9" i="15" l="1"/>
  <c r="CB10" i="15"/>
  <c r="CB11" i="15"/>
  <c r="CB12" i="15"/>
  <c r="CB13" i="15"/>
  <c r="CB14" i="15"/>
  <c r="CB15" i="15"/>
  <c r="CB16" i="15"/>
  <c r="CB17" i="15"/>
  <c r="CB18" i="15"/>
  <c r="CB19" i="15"/>
  <c r="CB20" i="15"/>
  <c r="CB21" i="15"/>
  <c r="CB22" i="15"/>
  <c r="CB23" i="15"/>
  <c r="CB24" i="15"/>
  <c r="CB25" i="15"/>
  <c r="CB26" i="15"/>
  <c r="CB27" i="15"/>
  <c r="CB28" i="15"/>
  <c r="CB29" i="15"/>
  <c r="CB30" i="15"/>
  <c r="CB31" i="15"/>
  <c r="CB32" i="15"/>
  <c r="CB33" i="15"/>
  <c r="CB34" i="15"/>
  <c r="CB35" i="15"/>
  <c r="CB36" i="15"/>
  <c r="CB37" i="15"/>
  <c r="CB38" i="15"/>
  <c r="CB39" i="15"/>
  <c r="CB40" i="15"/>
  <c r="CB41" i="15"/>
  <c r="CB42" i="15"/>
  <c r="CB43" i="15"/>
  <c r="CB44" i="15"/>
  <c r="CB45" i="15"/>
  <c r="CB46" i="15"/>
  <c r="CB47" i="15"/>
  <c r="CB48" i="15"/>
  <c r="CB49" i="15"/>
  <c r="CB50" i="15"/>
  <c r="CB51" i="15"/>
  <c r="CB52" i="15"/>
  <c r="CB53" i="15"/>
  <c r="CB54" i="15"/>
  <c r="CB55" i="15"/>
  <c r="CB56" i="15"/>
  <c r="CB57" i="15"/>
  <c r="CB58" i="15"/>
  <c r="CB59" i="15"/>
  <c r="CB60" i="15"/>
  <c r="CB61" i="15"/>
  <c r="CB62" i="15"/>
  <c r="CB63" i="15"/>
  <c r="CB64" i="15"/>
  <c r="CB65" i="15"/>
  <c r="CB66" i="15"/>
  <c r="CB67" i="15"/>
  <c r="CB68" i="15"/>
  <c r="CB69" i="15"/>
  <c r="CB70" i="15"/>
  <c r="CB71" i="15"/>
  <c r="CB72" i="15"/>
  <c r="CB73" i="15"/>
  <c r="CB74" i="15"/>
  <c r="CB75" i="15"/>
  <c r="CB76" i="15"/>
  <c r="CB77" i="15"/>
  <c r="CB78" i="15"/>
  <c r="CB79" i="15"/>
  <c r="CB80" i="15"/>
  <c r="CB81" i="15"/>
  <c r="CB82" i="15"/>
  <c r="CB83" i="15"/>
  <c r="CB8" i="15"/>
  <c r="AU84" i="15" l="1"/>
  <c r="AT84" i="15"/>
  <c r="AS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CA82" i="15"/>
  <c r="CA81" i="15"/>
  <c r="CA80" i="15"/>
  <c r="CA79" i="15"/>
  <c r="CA78" i="15"/>
  <c r="CA77" i="15"/>
  <c r="CA76" i="15"/>
  <c r="CA75" i="15"/>
  <c r="CA74" i="15"/>
  <c r="CA73" i="15"/>
  <c r="CA72" i="15"/>
  <c r="CA71" i="15"/>
  <c r="CA70" i="15"/>
  <c r="CA69" i="15"/>
  <c r="CA68" i="15"/>
  <c r="CA67" i="15"/>
  <c r="CA66" i="15"/>
  <c r="CA65" i="15"/>
  <c r="CA64" i="15"/>
  <c r="CA63" i="15"/>
  <c r="CA62" i="15"/>
  <c r="CA61" i="15"/>
  <c r="CA60" i="15"/>
  <c r="CA59" i="15"/>
  <c r="CA58" i="15"/>
  <c r="CA57" i="15"/>
  <c r="CA56" i="15"/>
  <c r="CA55" i="15"/>
  <c r="CA54" i="15"/>
  <c r="CA53" i="15"/>
  <c r="CA52" i="15"/>
  <c r="CA51" i="15"/>
  <c r="CA50" i="15"/>
  <c r="CA49" i="15"/>
  <c r="CA48" i="15"/>
  <c r="CA47" i="15"/>
  <c r="CA46" i="15"/>
  <c r="CA45" i="15"/>
  <c r="CA44" i="15"/>
  <c r="CA43" i="15"/>
  <c r="CA42" i="15"/>
  <c r="CA41" i="15"/>
  <c r="CA40" i="15"/>
  <c r="CA39" i="15"/>
  <c r="CA38" i="15"/>
  <c r="CA37" i="15"/>
  <c r="CA36" i="15"/>
  <c r="CA35" i="15"/>
  <c r="CA34" i="15"/>
  <c r="CA33" i="15"/>
  <c r="CA32" i="15"/>
  <c r="CA31" i="15"/>
  <c r="CA30" i="15"/>
  <c r="CA29" i="15"/>
  <c r="CA28" i="15"/>
  <c r="CA27" i="15"/>
  <c r="CA26" i="15"/>
  <c r="CA25" i="15"/>
  <c r="CA24" i="15"/>
  <c r="CA23" i="15"/>
  <c r="CA22" i="15"/>
  <c r="CA21" i="15"/>
  <c r="CA20" i="15"/>
  <c r="CA19" i="15"/>
  <c r="CA18" i="15"/>
  <c r="CA17" i="15"/>
  <c r="CA16" i="15"/>
  <c r="CA15" i="15"/>
  <c r="CA14" i="15"/>
  <c r="CA13" i="15"/>
  <c r="CA12" i="15"/>
  <c r="CA11" i="15"/>
  <c r="CA10" i="15"/>
  <c r="CA9" i="15"/>
  <c r="CA8" i="15"/>
  <c r="B3" i="9" l="1"/>
  <c r="B1" i="9" l="1"/>
  <c r="U94" i="9"/>
  <c r="V96" i="9"/>
  <c r="S104" i="9"/>
  <c r="U30" i="9"/>
  <c r="L82" i="9"/>
  <c r="Y102" i="9"/>
  <c r="F102" i="9"/>
  <c r="M14" i="9"/>
  <c r="T72" i="9"/>
  <c r="J69" i="9"/>
  <c r="P91" i="9"/>
  <c r="W40" i="9"/>
  <c r="M37" i="9"/>
  <c r="Y83" i="9"/>
  <c r="O50" i="9"/>
  <c r="C66" i="9"/>
  <c r="P97" i="9"/>
  <c r="L105" i="9"/>
  <c r="S62" i="9"/>
  <c r="F85" i="9"/>
  <c r="J88" i="9"/>
  <c r="G102" i="9"/>
  <c r="V53" i="9"/>
  <c r="S59" i="9"/>
  <c r="P104" i="9"/>
  <c r="R72" i="9"/>
  <c r="L88" i="9"/>
  <c r="T59" i="9"/>
  <c r="E35" i="9"/>
  <c r="W11" i="9"/>
  <c r="L38" i="9"/>
  <c r="O41" i="9"/>
  <c r="Y65" i="9"/>
  <c r="Y92" i="9"/>
  <c r="X9" i="9"/>
  <c r="N20" i="9"/>
  <c r="V85" i="9"/>
  <c r="J39" i="9"/>
  <c r="V11" i="9"/>
  <c r="K15" i="9"/>
  <c r="M60" i="9"/>
  <c r="O27" i="9"/>
  <c r="P13" i="9"/>
  <c r="N105" i="9"/>
  <c r="Y49" i="9"/>
  <c r="N58" i="9"/>
  <c r="H11" i="9"/>
  <c r="K20" i="9"/>
  <c r="Q45" i="9"/>
  <c r="X91" i="9"/>
  <c r="G68" i="9"/>
  <c r="J80" i="9"/>
  <c r="B39" i="9"/>
  <c r="V62" i="9"/>
  <c r="E69" i="9"/>
  <c r="D26" i="9"/>
  <c r="Y41" i="9"/>
  <c r="E42" i="9"/>
  <c r="O10" i="9"/>
  <c r="I69" i="9"/>
  <c r="R80" i="9"/>
  <c r="Y85" i="9"/>
  <c r="X7" i="9"/>
  <c r="Q6" i="9"/>
  <c r="Q91" i="9"/>
  <c r="N26" i="9"/>
  <c r="T40" i="9"/>
  <c r="S78" i="9"/>
  <c r="K14" i="9"/>
  <c r="U92" i="9"/>
  <c r="E101" i="9"/>
  <c r="S52" i="9"/>
  <c r="M10" i="9"/>
  <c r="O80" i="9"/>
  <c r="W57" i="9"/>
  <c r="C100" i="9"/>
  <c r="G19" i="9"/>
  <c r="D68" i="9"/>
  <c r="I62" i="9"/>
  <c r="L8" i="9"/>
  <c r="N68" i="9"/>
  <c r="Y91" i="9"/>
  <c r="Q23" i="9"/>
  <c r="V45" i="9"/>
  <c r="K29" i="9"/>
  <c r="M85" i="9"/>
  <c r="V84" i="9"/>
  <c r="O68" i="9"/>
  <c r="I71" i="9"/>
  <c r="R43" i="9"/>
  <c r="Y11" i="9"/>
  <c r="C6" i="9"/>
  <c r="K12" i="9"/>
  <c r="W27" i="9"/>
  <c r="W47" i="9"/>
  <c r="I90" i="9"/>
  <c r="F101" i="9"/>
  <c r="M104" i="9"/>
  <c r="G57" i="9"/>
  <c r="M96" i="9"/>
  <c r="P69" i="9"/>
  <c r="N47" i="9"/>
  <c r="L12" i="9"/>
  <c r="B42" i="9"/>
  <c r="B35" i="9"/>
  <c r="U34" i="9"/>
  <c r="R98" i="9"/>
  <c r="J86" i="9"/>
  <c r="M91" i="9"/>
  <c r="X10" i="9"/>
  <c r="Y37" i="9"/>
  <c r="R31" i="9"/>
  <c r="H73" i="9"/>
  <c r="O7" i="9"/>
  <c r="D85" i="9"/>
  <c r="C99" i="9"/>
  <c r="K98" i="9"/>
  <c r="U100" i="9"/>
  <c r="N74" i="9"/>
  <c r="O99" i="9"/>
  <c r="M101" i="9"/>
  <c r="R41" i="9"/>
  <c r="W19" i="9"/>
  <c r="W12" i="9"/>
  <c r="V25" i="9"/>
  <c r="F89" i="9"/>
  <c r="N45" i="9"/>
  <c r="T35" i="9"/>
  <c r="O94" i="9"/>
  <c r="D93" i="9"/>
  <c r="R82" i="9"/>
  <c r="Y96" i="9"/>
  <c r="Q63" i="9"/>
  <c r="S101" i="9"/>
  <c r="E81" i="9"/>
  <c r="X90" i="9"/>
  <c r="O84" i="9"/>
  <c r="W38" i="9"/>
  <c r="K84" i="9"/>
  <c r="W52" i="9"/>
  <c r="O61" i="9"/>
  <c r="M78" i="9"/>
  <c r="D18" i="9"/>
  <c r="B102" i="9"/>
  <c r="Q38" i="9"/>
  <c r="L104" i="9"/>
  <c r="M81" i="9"/>
  <c r="U85" i="9"/>
  <c r="T102" i="9"/>
  <c r="X98" i="9"/>
  <c r="L91" i="9"/>
  <c r="U83" i="9"/>
  <c r="U50" i="9"/>
  <c r="G59" i="9"/>
  <c r="N94" i="9"/>
  <c r="H66" i="9"/>
  <c r="L50" i="9"/>
  <c r="K99" i="9"/>
  <c r="L89" i="9"/>
  <c r="P17" i="9"/>
  <c r="I84" i="9"/>
  <c r="T104" i="9"/>
  <c r="G80" i="9"/>
  <c r="U91" i="9"/>
  <c r="V13" i="9"/>
  <c r="V95" i="9"/>
  <c r="T8" i="9"/>
  <c r="N97" i="9"/>
  <c r="T7" i="9"/>
  <c r="Q99" i="9"/>
  <c r="L87" i="9"/>
  <c r="J33" i="9"/>
  <c r="S26" i="9"/>
  <c r="T70" i="9"/>
  <c r="W23" i="9"/>
  <c r="Y66" i="9"/>
  <c r="S66" i="9"/>
  <c r="E53" i="9"/>
  <c r="I86" i="9"/>
  <c r="T24" i="9"/>
  <c r="M50" i="9"/>
  <c r="O72" i="9"/>
  <c r="Y15" i="9"/>
  <c r="E21" i="9"/>
  <c r="G88" i="9"/>
  <c r="M69" i="9"/>
  <c r="J94" i="9"/>
  <c r="X29" i="9"/>
  <c r="Y56" i="9"/>
  <c r="Q33" i="9"/>
  <c r="C93" i="9"/>
  <c r="U84" i="9"/>
  <c r="Y44" i="9"/>
  <c r="Y27" i="9"/>
  <c r="B9" i="9"/>
  <c r="H88" i="9"/>
  <c r="J89" i="9"/>
  <c r="T61" i="9"/>
  <c r="Y8" i="9"/>
  <c r="J72" i="9"/>
  <c r="K64" i="9"/>
  <c r="C57" i="9"/>
  <c r="Q68" i="9"/>
  <c r="P8" i="9"/>
  <c r="Y62" i="9"/>
  <c r="E99" i="9"/>
  <c r="H36" i="9"/>
  <c r="E59" i="9"/>
  <c r="Y16" i="9"/>
  <c r="X45" i="9"/>
  <c r="H85" i="9"/>
  <c r="Q92" i="9"/>
  <c r="V23" i="9"/>
  <c r="O13" i="9"/>
  <c r="P40" i="9"/>
  <c r="Y46" i="9"/>
  <c r="S54" i="9"/>
  <c r="W103" i="9"/>
  <c r="Y98" i="9"/>
  <c r="U97" i="9"/>
  <c r="L94" i="9"/>
  <c r="R13" i="9"/>
  <c r="S51" i="9"/>
  <c r="T10" i="9"/>
  <c r="F31" i="9"/>
  <c r="T11" i="9"/>
  <c r="E17" i="9"/>
  <c r="E32" i="9"/>
  <c r="T62" i="9"/>
  <c r="D84" i="9"/>
  <c r="N36" i="9"/>
  <c r="W82" i="9"/>
  <c r="L9" i="9"/>
  <c r="C92" i="9"/>
  <c r="R103" i="9"/>
  <c r="E71" i="9"/>
  <c r="S73" i="9"/>
  <c r="Q101" i="9"/>
  <c r="S9" i="9"/>
  <c r="N52" i="9"/>
  <c r="G37" i="9"/>
  <c r="X15" i="9"/>
  <c r="P99" i="9"/>
  <c r="Y79" i="9"/>
  <c r="M23" i="9"/>
  <c r="F28" i="9"/>
  <c r="Q34" i="9"/>
  <c r="Q24" i="9"/>
  <c r="U70" i="9"/>
  <c r="F51" i="9"/>
  <c r="I95" i="9"/>
  <c r="P22" i="9"/>
  <c r="R94" i="9"/>
  <c r="R63" i="9"/>
  <c r="I54" i="9"/>
  <c r="S81" i="9"/>
  <c r="J105" i="9"/>
  <c r="P74" i="9"/>
  <c r="S76" i="9"/>
  <c r="Y55" i="9"/>
  <c r="F76" i="9"/>
  <c r="M12" i="9"/>
  <c r="G15" i="9"/>
  <c r="E33" i="9"/>
  <c r="B40" i="9"/>
  <c r="F46" i="9"/>
  <c r="S31" i="9"/>
  <c r="N73" i="9"/>
  <c r="B22" i="9"/>
  <c r="R16" i="9"/>
  <c r="C102" i="9"/>
  <c r="E11" i="9"/>
  <c r="I99" i="9"/>
  <c r="G99" i="9"/>
  <c r="M62" i="9"/>
  <c r="E37" i="9"/>
  <c r="O47" i="9"/>
  <c r="E61" i="9"/>
  <c r="C36" i="9"/>
  <c r="R20" i="9"/>
  <c r="C37" i="9"/>
  <c r="N14" i="9"/>
  <c r="V97" i="9"/>
  <c r="P94" i="9"/>
  <c r="L76" i="9"/>
  <c r="O38" i="9"/>
  <c r="B89" i="9"/>
  <c r="U57" i="9"/>
  <c r="E34" i="9"/>
  <c r="M100" i="9"/>
  <c r="U52" i="9"/>
  <c r="H40" i="9"/>
  <c r="G78" i="9"/>
  <c r="N96" i="9"/>
  <c r="H27" i="9"/>
  <c r="T12" i="9"/>
  <c r="F94" i="9"/>
  <c r="G17" i="9"/>
  <c r="G55" i="9"/>
  <c r="E68" i="9"/>
  <c r="B95" i="9"/>
  <c r="O77" i="9"/>
  <c r="X86" i="9"/>
  <c r="T57" i="9"/>
  <c r="G94" i="9"/>
  <c r="T16" i="9"/>
  <c r="H20" i="9"/>
  <c r="D31" i="9"/>
  <c r="C32" i="9"/>
  <c r="X32" i="9"/>
  <c r="C38" i="9"/>
  <c r="K6" i="9"/>
  <c r="J20" i="9"/>
  <c r="R101" i="9"/>
  <c r="V50" i="9"/>
  <c r="O76" i="9"/>
  <c r="L34" i="9"/>
  <c r="S61" i="9"/>
  <c r="V16" i="9"/>
  <c r="E55" i="9"/>
  <c r="C75" i="9"/>
  <c r="Y74" i="9"/>
  <c r="T31" i="9"/>
  <c r="O104" i="9"/>
  <c r="R89" i="9"/>
  <c r="C59" i="9"/>
  <c r="B85" i="9"/>
  <c r="R74" i="9"/>
  <c r="T47" i="9"/>
  <c r="B25" i="9"/>
  <c r="K66" i="9"/>
  <c r="E36" i="9"/>
  <c r="S15" i="9"/>
  <c r="L73" i="9"/>
  <c r="L43" i="9"/>
  <c r="K92" i="9"/>
  <c r="U82" i="9"/>
  <c r="E73" i="9"/>
  <c r="X54" i="9"/>
  <c r="C79" i="9"/>
  <c r="E9" i="9"/>
  <c r="M54" i="9"/>
  <c r="G46" i="9"/>
  <c r="M80" i="9"/>
  <c r="S56" i="9"/>
  <c r="U75" i="9"/>
  <c r="K41" i="9"/>
  <c r="W75" i="9"/>
  <c r="N57" i="9"/>
  <c r="D87" i="9"/>
  <c r="Y80" i="9"/>
  <c r="C68" i="9"/>
  <c r="E75" i="9"/>
  <c r="M83" i="9"/>
  <c r="C78" i="9"/>
  <c r="I10" i="9"/>
  <c r="E31" i="9"/>
  <c r="Q29" i="9"/>
  <c r="G36" i="9"/>
  <c r="U56" i="9"/>
  <c r="H8" i="9"/>
  <c r="E22" i="9"/>
  <c r="W31" i="9"/>
  <c r="X25" i="9"/>
  <c r="N32" i="9"/>
  <c r="G74" i="9"/>
  <c r="U101" i="9"/>
  <c r="Q28" i="9"/>
  <c r="F105" i="9"/>
  <c r="N64" i="9"/>
  <c r="O97" i="9"/>
  <c r="I61" i="9"/>
  <c r="U102" i="9"/>
  <c r="U63" i="9"/>
  <c r="T99" i="9"/>
  <c r="S23" i="9"/>
  <c r="U64" i="9"/>
  <c r="R24" i="9"/>
  <c r="P7" i="9"/>
  <c r="Q50" i="9"/>
  <c r="X43" i="9"/>
  <c r="N18" i="9"/>
  <c r="X60" i="9"/>
  <c r="F29" i="9"/>
  <c r="Y50" i="9"/>
  <c r="V30" i="9"/>
  <c r="L100" i="9"/>
  <c r="L95" i="9"/>
  <c r="P23" i="9"/>
  <c r="W81" i="9"/>
  <c r="G9" i="9"/>
  <c r="T58" i="9"/>
  <c r="L67" i="9"/>
  <c r="C28" i="9"/>
  <c r="I25" i="9"/>
  <c r="L83" i="9"/>
  <c r="D60" i="9"/>
  <c r="O83" i="9"/>
  <c r="M99" i="9"/>
  <c r="R62" i="9"/>
  <c r="I40" i="9"/>
  <c r="J93" i="9"/>
  <c r="M105" i="9"/>
  <c r="M70" i="9"/>
  <c r="B36" i="9"/>
  <c r="D37" i="9"/>
  <c r="K81" i="9"/>
  <c r="V52" i="9"/>
  <c r="S6" i="9"/>
  <c r="W16" i="9"/>
  <c r="U68" i="9"/>
  <c r="B91" i="9"/>
  <c r="Y12" i="9"/>
  <c r="K69" i="9"/>
  <c r="J9" i="9"/>
  <c r="F53" i="9"/>
  <c r="Y100" i="9"/>
  <c r="J12" i="9"/>
  <c r="V64" i="9"/>
  <c r="O30" i="9"/>
  <c r="V94" i="9"/>
  <c r="K82" i="9"/>
  <c r="C82" i="9"/>
  <c r="G81" i="9"/>
  <c r="O26" i="9"/>
  <c r="T81" i="9"/>
  <c r="X47" i="9"/>
  <c r="Q13" i="9"/>
  <c r="W77" i="9"/>
  <c r="Q81" i="9"/>
  <c r="Y40" i="9"/>
  <c r="U73" i="9"/>
  <c r="B46" i="9"/>
  <c r="S103" i="9"/>
  <c r="K95" i="9"/>
  <c r="J91" i="9"/>
  <c r="S70" i="9"/>
  <c r="Q100" i="9"/>
  <c r="O12" i="9"/>
  <c r="Q70" i="9"/>
  <c r="X26" i="9"/>
  <c r="M92" i="9"/>
  <c r="C69" i="9"/>
  <c r="L78" i="9"/>
  <c r="P45" i="9"/>
  <c r="U103" i="9"/>
  <c r="W54" i="9"/>
  <c r="Q12" i="9"/>
  <c r="L84" i="9"/>
  <c r="J34" i="9"/>
  <c r="Y9" i="9"/>
  <c r="V22" i="9"/>
  <c r="T9" i="9"/>
  <c r="N59" i="9"/>
  <c r="X50" i="9"/>
  <c r="G96" i="9"/>
  <c r="F44" i="9"/>
  <c r="E39" i="9"/>
  <c r="P28" i="9"/>
  <c r="J43" i="9"/>
  <c r="R75" i="9"/>
  <c r="L102" i="9"/>
  <c r="B23" i="9"/>
  <c r="K61" i="9"/>
  <c r="G63" i="9"/>
  <c r="W73" i="9"/>
  <c r="K17" i="9"/>
  <c r="B18" i="9"/>
  <c r="P18" i="9"/>
  <c r="K34" i="9"/>
  <c r="S17" i="9"/>
  <c r="S38" i="9"/>
  <c r="P35" i="9"/>
  <c r="U26" i="9"/>
  <c r="T34" i="9"/>
  <c r="K87" i="9"/>
  <c r="T103" i="9"/>
  <c r="P76" i="9"/>
  <c r="V20" i="9"/>
  <c r="I63" i="9"/>
  <c r="M67" i="9"/>
  <c r="W15" i="9"/>
  <c r="I57" i="9"/>
  <c r="L98" i="9"/>
  <c r="J67" i="9"/>
  <c r="V78" i="9"/>
  <c r="N78" i="9"/>
  <c r="I23" i="9"/>
  <c r="L74" i="9"/>
  <c r="N84" i="9"/>
  <c r="L60" i="9"/>
  <c r="I101" i="9"/>
  <c r="I14" i="9"/>
  <c r="J32" i="9"/>
  <c r="M79" i="9"/>
  <c r="M24" i="9"/>
  <c r="F64" i="9"/>
  <c r="F99" i="9"/>
  <c r="E85" i="9"/>
  <c r="V35" i="9"/>
  <c r="C73" i="9"/>
  <c r="S43" i="9"/>
  <c r="G35" i="9"/>
  <c r="J57" i="9"/>
  <c r="K32" i="9"/>
  <c r="E79" i="9"/>
  <c r="F14" i="9"/>
  <c r="D75" i="9"/>
  <c r="N41" i="9"/>
  <c r="T69" i="9"/>
  <c r="J42" i="9"/>
  <c r="N13" i="9"/>
  <c r="D73" i="9"/>
  <c r="Y47" i="9"/>
  <c r="E94" i="9"/>
  <c r="R25" i="9"/>
  <c r="H44" i="9"/>
  <c r="W6" i="9"/>
  <c r="L11" i="9"/>
  <c r="H101" i="9"/>
  <c r="Q19" i="9"/>
  <c r="R27" i="9"/>
  <c r="P14" i="9"/>
  <c r="C77" i="9"/>
  <c r="N67" i="9"/>
  <c r="G76" i="9"/>
  <c r="U61" i="9"/>
  <c r="R48" i="9"/>
  <c r="T23" i="9"/>
  <c r="C11" i="9"/>
  <c r="D102" i="9"/>
  <c r="J78" i="9"/>
  <c r="O93" i="9"/>
  <c r="K54" i="9"/>
  <c r="K44" i="9"/>
  <c r="T42" i="9"/>
  <c r="F33" i="9"/>
  <c r="Y88" i="9"/>
  <c r="I8" i="9"/>
  <c r="R56" i="9"/>
  <c r="E65" i="9"/>
  <c r="N101" i="9"/>
  <c r="J28" i="9"/>
  <c r="S98" i="9"/>
  <c r="H45" i="9"/>
  <c r="G87" i="9"/>
  <c r="O81" i="9"/>
  <c r="T93" i="9"/>
  <c r="U72" i="9"/>
  <c r="O45" i="9"/>
  <c r="Q54" i="9"/>
  <c r="O103" i="9"/>
  <c r="F24" i="9"/>
  <c r="E84" i="9"/>
  <c r="Q14" i="9"/>
  <c r="K23" i="9"/>
  <c r="I102" i="9"/>
  <c r="U90" i="9"/>
  <c r="B19" i="9"/>
  <c r="D90" i="9"/>
  <c r="X73" i="9"/>
  <c r="W71" i="9"/>
  <c r="T79" i="9"/>
  <c r="N55" i="9"/>
  <c r="O22" i="9"/>
  <c r="K31" i="9"/>
  <c r="J85" i="9"/>
  <c r="C55" i="9"/>
  <c r="U41" i="9"/>
  <c r="M56" i="9"/>
  <c r="S7" i="9"/>
  <c r="Y38" i="9"/>
  <c r="R60" i="9"/>
  <c r="V14" i="9"/>
  <c r="N42" i="9"/>
  <c r="P37" i="9"/>
  <c r="F104" i="9"/>
  <c r="V93" i="9"/>
  <c r="W59" i="9"/>
  <c r="F57" i="9"/>
  <c r="E91" i="9"/>
  <c r="M8" i="9"/>
  <c r="T41" i="9"/>
  <c r="Y103" i="9"/>
  <c r="H60" i="9"/>
  <c r="P26" i="9"/>
  <c r="J17" i="9"/>
  <c r="J75" i="9"/>
  <c r="W104" i="9"/>
  <c r="R45" i="9"/>
  <c r="T55" i="9"/>
  <c r="L27" i="9"/>
  <c r="B92" i="9"/>
  <c r="J55" i="9"/>
  <c r="D52" i="9"/>
  <c r="G13" i="9"/>
  <c r="V58" i="9"/>
  <c r="V19" i="9"/>
  <c r="O11" i="9"/>
  <c r="J95" i="9"/>
  <c r="S30" i="9"/>
  <c r="M34" i="9"/>
  <c r="V83" i="9"/>
  <c r="C9" i="9"/>
  <c r="V32" i="9"/>
  <c r="T76" i="9"/>
  <c r="V55" i="9"/>
  <c r="B59" i="9"/>
  <c r="P49" i="9"/>
  <c r="K86" i="9"/>
  <c r="O40" i="9"/>
  <c r="Q32" i="9"/>
  <c r="H90" i="9"/>
  <c r="G105" i="9"/>
  <c r="S105" i="9"/>
  <c r="Y6" i="9"/>
  <c r="U74" i="9"/>
  <c r="S92" i="9"/>
  <c r="G22" i="9"/>
  <c r="J92" i="9"/>
  <c r="U69" i="9"/>
  <c r="W89" i="9"/>
  <c r="T46" i="9"/>
  <c r="G56" i="9"/>
  <c r="D39" i="9"/>
  <c r="F25" i="9"/>
  <c r="T44" i="9"/>
  <c r="B64" i="9"/>
  <c r="P105" i="9"/>
  <c r="W78" i="9"/>
  <c r="H57" i="9"/>
  <c r="U76" i="9"/>
  <c r="V99" i="9"/>
  <c r="V27" i="9"/>
  <c r="C45" i="9"/>
  <c r="I72" i="9"/>
  <c r="V92" i="9"/>
  <c r="D21" i="9"/>
  <c r="Y64" i="9"/>
  <c r="N65" i="9"/>
  <c r="V71" i="9"/>
  <c r="T30" i="9"/>
  <c r="E58" i="9"/>
  <c r="W105" i="9"/>
  <c r="C67" i="9"/>
  <c r="H10" i="9"/>
  <c r="U47" i="9"/>
  <c r="J24" i="9"/>
  <c r="Q89" i="9"/>
  <c r="F87" i="9"/>
  <c r="G65" i="9"/>
  <c r="S20" i="9"/>
  <c r="L46" i="9"/>
  <c r="K102" i="9"/>
  <c r="B14" i="9"/>
  <c r="X80" i="9"/>
  <c r="P89" i="9"/>
  <c r="P100" i="9"/>
  <c r="T56" i="9"/>
  <c r="N39" i="9"/>
  <c r="R59" i="9"/>
  <c r="B105" i="9"/>
  <c r="B79" i="9"/>
  <c r="D45" i="9"/>
  <c r="X8" i="9"/>
  <c r="T17" i="9"/>
  <c r="E60" i="9"/>
  <c r="W91" i="9"/>
  <c r="E24" i="9"/>
  <c r="M53" i="9"/>
  <c r="M71" i="9"/>
  <c r="V81" i="9"/>
  <c r="E48" i="9"/>
  <c r="K67" i="9"/>
  <c r="H105" i="9"/>
  <c r="L64" i="9"/>
  <c r="B15" i="9"/>
  <c r="R65" i="9"/>
  <c r="X93" i="9"/>
  <c r="H49" i="9"/>
  <c r="E14" i="9"/>
  <c r="S47" i="9"/>
  <c r="G71" i="9"/>
  <c r="O48" i="9"/>
  <c r="L30" i="9"/>
  <c r="X85" i="9"/>
  <c r="Y81" i="9"/>
  <c r="O44" i="9"/>
  <c r="F67" i="9"/>
  <c r="V10" i="9"/>
  <c r="H47" i="9"/>
  <c r="G25" i="9"/>
  <c r="C84" i="9"/>
  <c r="D99" i="9"/>
  <c r="N81" i="9"/>
  <c r="D11" i="9"/>
  <c r="T105" i="9"/>
  <c r="T66" i="9"/>
  <c r="W37" i="9"/>
  <c r="T48" i="9"/>
  <c r="U28" i="9"/>
  <c r="J61" i="9"/>
  <c r="Y104" i="9"/>
  <c r="W94" i="9"/>
  <c r="G24" i="9"/>
  <c r="I85" i="9"/>
  <c r="O82" i="9"/>
  <c r="W70" i="9"/>
  <c r="D97" i="9"/>
  <c r="G42" i="9"/>
  <c r="U24" i="9"/>
  <c r="F35" i="9"/>
  <c r="I66" i="9"/>
  <c r="M21" i="9"/>
  <c r="W9" i="9"/>
  <c r="K73" i="9"/>
  <c r="O42" i="9"/>
  <c r="U93" i="9"/>
  <c r="E93" i="9"/>
  <c r="J29" i="9"/>
  <c r="M93" i="9"/>
  <c r="Q7" i="9"/>
  <c r="F37" i="9"/>
  <c r="G51" i="9"/>
  <c r="N19" i="9"/>
  <c r="X89" i="9"/>
  <c r="K50" i="9"/>
  <c r="X70" i="9"/>
  <c r="C62" i="9"/>
  <c r="G104" i="9"/>
  <c r="O59" i="9"/>
  <c r="Q52" i="9"/>
  <c r="J54" i="9"/>
  <c r="R81" i="9"/>
  <c r="H51" i="9"/>
  <c r="H54" i="9"/>
  <c r="R35" i="9"/>
  <c r="G12" i="9"/>
  <c r="N27" i="9"/>
  <c r="W44" i="9"/>
  <c r="O37" i="9"/>
  <c r="C51" i="9"/>
  <c r="L16" i="9"/>
  <c r="F6" i="9"/>
  <c r="E10" i="9"/>
  <c r="K43" i="9"/>
  <c r="B75" i="9"/>
  <c r="H41" i="9"/>
  <c r="M61" i="9"/>
  <c r="M84" i="9"/>
  <c r="I12" i="9"/>
  <c r="O15" i="9"/>
  <c r="I105" i="9"/>
  <c r="W72" i="9"/>
  <c r="V82" i="9"/>
  <c r="K97" i="9"/>
  <c r="M26" i="9"/>
  <c r="J64" i="9"/>
  <c r="N70" i="9"/>
  <c r="O34" i="9"/>
  <c r="L93" i="9"/>
  <c r="R95" i="9"/>
  <c r="D36" i="9"/>
  <c r="O85" i="9"/>
  <c r="G61" i="9"/>
  <c r="F59" i="9"/>
  <c r="H34" i="9"/>
  <c r="K49" i="9"/>
  <c r="V21" i="9"/>
  <c r="D71" i="9"/>
  <c r="X83" i="9"/>
  <c r="B81" i="9"/>
  <c r="G97" i="9"/>
  <c r="R77" i="9"/>
  <c r="O43" i="9"/>
  <c r="D38" i="9"/>
  <c r="S13" i="9"/>
  <c r="X88" i="9"/>
  <c r="J35" i="9"/>
  <c r="B32" i="9"/>
  <c r="G14" i="9"/>
  <c r="D95" i="9"/>
  <c r="N40" i="9"/>
  <c r="V47" i="9"/>
  <c r="G62" i="9"/>
  <c r="D43" i="9"/>
  <c r="K53" i="9"/>
  <c r="D64" i="9"/>
  <c r="C91" i="9"/>
  <c r="R73" i="9"/>
  <c r="G100" i="9"/>
  <c r="L51" i="9"/>
  <c r="G82" i="9"/>
  <c r="K94" i="9"/>
  <c r="T19" i="9"/>
  <c r="L24" i="9"/>
  <c r="J96" i="9"/>
  <c r="Y72" i="9"/>
  <c r="P66" i="9"/>
  <c r="Q30" i="9"/>
  <c r="D34" i="9"/>
  <c r="W33" i="9"/>
  <c r="T49" i="9"/>
  <c r="X53" i="9"/>
  <c r="U81" i="9"/>
  <c r="G16" i="9"/>
  <c r="M66" i="9"/>
  <c r="X95" i="9"/>
  <c r="L25" i="9"/>
  <c r="G40" i="9"/>
  <c r="W42" i="9"/>
  <c r="V68" i="9"/>
  <c r="N77" i="9"/>
  <c r="P41" i="9"/>
  <c r="B53" i="9"/>
  <c r="Y54" i="9"/>
  <c r="X79" i="9"/>
  <c r="U36" i="9"/>
  <c r="W39" i="9"/>
  <c r="O60" i="9"/>
  <c r="W63" i="9"/>
  <c r="I60" i="9"/>
  <c r="I38" i="9"/>
  <c r="G6" i="9"/>
  <c r="Y48" i="9"/>
  <c r="Y43" i="9"/>
  <c r="E90" i="9"/>
  <c r="Y67" i="9"/>
  <c r="E70" i="9"/>
  <c r="L81" i="9"/>
  <c r="N98" i="9"/>
  <c r="B48" i="9"/>
  <c r="S22" i="9"/>
  <c r="K33" i="9"/>
  <c r="M89" i="9"/>
  <c r="N85" i="9"/>
  <c r="R85" i="9"/>
  <c r="X100" i="9"/>
  <c r="P33" i="9"/>
  <c r="K11" i="9"/>
  <c r="M28" i="9"/>
  <c r="X87" i="9"/>
  <c r="J77" i="9"/>
  <c r="Q67" i="9"/>
  <c r="L54" i="9"/>
  <c r="Q69" i="9"/>
  <c r="Q56" i="9"/>
  <c r="Q65" i="9"/>
  <c r="O78" i="9"/>
  <c r="P98" i="9"/>
  <c r="Y17" i="9"/>
  <c r="L103" i="9"/>
  <c r="P50" i="9"/>
  <c r="H25" i="9"/>
  <c r="B93" i="9"/>
  <c r="E16" i="9"/>
  <c r="T89" i="9"/>
  <c r="U54" i="9"/>
  <c r="T28" i="9"/>
  <c r="T29" i="9"/>
  <c r="C95" i="9"/>
  <c r="O58" i="9"/>
  <c r="L59" i="9"/>
  <c r="R36" i="9"/>
  <c r="W17" i="9"/>
  <c r="X51" i="9"/>
  <c r="L86" i="9"/>
  <c r="B24" i="9"/>
  <c r="O87" i="9"/>
  <c r="O6" i="9"/>
  <c r="D25" i="9"/>
  <c r="F93" i="9"/>
  <c r="H29" i="9"/>
  <c r="G98" i="9"/>
  <c r="F49" i="9"/>
  <c r="D101" i="9"/>
  <c r="O9" i="9"/>
  <c r="S93" i="9"/>
  <c r="R17" i="9"/>
  <c r="Y18" i="9"/>
  <c r="H58" i="9"/>
  <c r="D14" i="9"/>
  <c r="X101" i="9"/>
  <c r="H103" i="9"/>
  <c r="U18" i="9"/>
  <c r="S64" i="9"/>
  <c r="R44" i="9"/>
  <c r="E18" i="9"/>
  <c r="G41" i="9"/>
  <c r="K16" i="9"/>
  <c r="U99" i="9"/>
  <c r="I30" i="9"/>
  <c r="G8" i="9"/>
  <c r="K74" i="9"/>
  <c r="M88" i="9"/>
  <c r="X49" i="9"/>
  <c r="E23" i="9"/>
  <c r="R76" i="9"/>
  <c r="P15" i="9"/>
  <c r="K76" i="9"/>
  <c r="W25" i="9"/>
  <c r="I65" i="9"/>
  <c r="R100" i="9"/>
  <c r="Y87" i="9"/>
  <c r="J48" i="9"/>
  <c r="M13" i="9"/>
  <c r="V104" i="9"/>
  <c r="P55" i="9"/>
  <c r="I16" i="9"/>
  <c r="K45" i="9"/>
  <c r="C96" i="9"/>
  <c r="R66" i="9"/>
  <c r="V28" i="9"/>
  <c r="G49" i="9"/>
  <c r="W48" i="9"/>
  <c r="D89" i="9"/>
  <c r="D44" i="9"/>
  <c r="S21" i="9"/>
  <c r="H79" i="9"/>
  <c r="G95" i="9"/>
  <c r="J6" i="9"/>
  <c r="F32" i="9"/>
  <c r="M30" i="9"/>
  <c r="B49" i="9"/>
  <c r="N76" i="9"/>
  <c r="S11" i="9"/>
  <c r="P58" i="9"/>
  <c r="J18" i="9"/>
  <c r="D94" i="9"/>
  <c r="W93" i="9"/>
  <c r="O46" i="9"/>
  <c r="T37" i="9"/>
  <c r="T73" i="9"/>
  <c r="X102" i="9"/>
  <c r="I18" i="9"/>
  <c r="C18" i="9"/>
  <c r="Y7" i="9"/>
  <c r="W61" i="9"/>
  <c r="U16" i="9"/>
  <c r="P46" i="9"/>
  <c r="V18" i="9"/>
  <c r="B99" i="9"/>
  <c r="F20" i="9"/>
  <c r="X94" i="9"/>
  <c r="M102" i="9"/>
  <c r="L23" i="9"/>
  <c r="E67" i="9"/>
  <c r="M17" i="9"/>
  <c r="Q79" i="9"/>
  <c r="R92" i="9"/>
  <c r="W8" i="9"/>
  <c r="O62" i="9"/>
  <c r="X55" i="9"/>
  <c r="M52" i="9"/>
  <c r="S97" i="9"/>
  <c r="D42" i="9"/>
  <c r="L53" i="9"/>
  <c r="G18" i="9"/>
  <c r="Y71" i="9"/>
  <c r="R58" i="9"/>
  <c r="Q36" i="9"/>
  <c r="V39" i="9"/>
  <c r="Y77" i="9"/>
  <c r="Y28" i="9"/>
  <c r="L72" i="9"/>
  <c r="V42" i="9"/>
  <c r="L44" i="9"/>
  <c r="G92" i="9"/>
  <c r="T96" i="9"/>
  <c r="F103" i="9"/>
  <c r="E78" i="9"/>
  <c r="B43" i="9"/>
  <c r="B88" i="9"/>
  <c r="N8" i="9"/>
  <c r="V51" i="9"/>
  <c r="X12" i="9"/>
  <c r="F19" i="9"/>
  <c r="G77" i="9"/>
  <c r="D88" i="9"/>
  <c r="L101" i="9"/>
  <c r="D70" i="9"/>
  <c r="R33" i="9"/>
  <c r="M90" i="9"/>
  <c r="K65" i="9"/>
  <c r="N93" i="9"/>
  <c r="G31" i="9"/>
  <c r="N88" i="9"/>
  <c r="P60" i="9"/>
  <c r="C103" i="9"/>
  <c r="H39" i="9"/>
  <c r="N103" i="9"/>
  <c r="X92" i="9"/>
  <c r="N35" i="9"/>
  <c r="X64" i="9"/>
  <c r="G30" i="9"/>
  <c r="G21" i="9"/>
  <c r="K30" i="9"/>
  <c r="D91" i="9"/>
  <c r="O29" i="9"/>
  <c r="L17" i="9"/>
  <c r="U40" i="9"/>
  <c r="R6" i="9"/>
  <c r="X40" i="9"/>
  <c r="M7" i="9"/>
  <c r="Y36" i="9"/>
  <c r="D83" i="9"/>
  <c r="V60" i="9"/>
  <c r="O23" i="9"/>
  <c r="V8" i="9"/>
  <c r="V75" i="9"/>
  <c r="I94" i="9"/>
  <c r="D19" i="9"/>
  <c r="N12" i="9"/>
  <c r="E87" i="9"/>
  <c r="V57" i="9"/>
  <c r="M49" i="9"/>
  <c r="T85" i="9"/>
  <c r="G48" i="9"/>
  <c r="L41" i="9"/>
  <c r="W35" i="9"/>
  <c r="Q59" i="9"/>
  <c r="P93" i="9"/>
  <c r="D8" i="9"/>
  <c r="P102" i="9"/>
  <c r="L15" i="9"/>
  <c r="I96" i="9"/>
  <c r="I76" i="9"/>
  <c r="Q66" i="9"/>
  <c r="U39" i="9"/>
  <c r="H55" i="9"/>
  <c r="Q53" i="9"/>
  <c r="X105" i="9"/>
  <c r="S96" i="9"/>
  <c r="W50" i="9"/>
  <c r="C86" i="9"/>
  <c r="E98" i="9"/>
  <c r="L42" i="9"/>
  <c r="W46" i="9"/>
  <c r="W43" i="9"/>
  <c r="V54" i="9"/>
  <c r="I46" i="9"/>
  <c r="L28" i="9"/>
  <c r="Q57" i="9"/>
  <c r="L56" i="9"/>
  <c r="Q46" i="9"/>
  <c r="E27" i="9"/>
  <c r="Q48" i="9"/>
  <c r="E103" i="9"/>
  <c r="Y10" i="9"/>
  <c r="C53" i="9"/>
  <c r="P6" i="9"/>
  <c r="G38" i="9"/>
  <c r="U79" i="9"/>
  <c r="L99" i="9"/>
  <c r="D49" i="9"/>
  <c r="W32" i="9"/>
  <c r="X57" i="9"/>
  <c r="I75" i="9"/>
  <c r="L70" i="9"/>
  <c r="B55" i="9"/>
  <c r="S24" i="9"/>
  <c r="K9" i="9"/>
  <c r="N6" i="9"/>
  <c r="Y78" i="9"/>
  <c r="I89" i="9"/>
  <c r="P85" i="9"/>
  <c r="Y13" i="9"/>
  <c r="P87" i="9"/>
  <c r="H70" i="9"/>
  <c r="I43" i="9"/>
  <c r="I32" i="9"/>
  <c r="Q71" i="9"/>
  <c r="Y51" i="9"/>
  <c r="E40" i="9"/>
  <c r="S69" i="9"/>
  <c r="P53" i="9"/>
  <c r="G91" i="9"/>
  <c r="O90" i="9"/>
  <c r="V105" i="9"/>
  <c r="P51" i="9"/>
  <c r="D12" i="9"/>
  <c r="O95" i="9"/>
  <c r="H82" i="9"/>
  <c r="V87" i="9"/>
  <c r="W58" i="9"/>
  <c r="Q88" i="9"/>
  <c r="P70" i="9"/>
  <c r="P10" i="9"/>
  <c r="W45" i="9"/>
  <c r="C80" i="9"/>
  <c r="K39" i="9"/>
  <c r="X44" i="9"/>
  <c r="F70" i="9"/>
  <c r="O49" i="9"/>
  <c r="E104" i="9"/>
  <c r="X81" i="9"/>
  <c r="I31" i="9"/>
  <c r="V36" i="9"/>
  <c r="Y68" i="9"/>
  <c r="F92" i="9"/>
  <c r="U31" i="9"/>
  <c r="Y70" i="9"/>
  <c r="M63" i="9"/>
  <c r="F43" i="9"/>
  <c r="N37" i="9"/>
  <c r="I73" i="9"/>
  <c r="R51" i="9"/>
  <c r="T33" i="9"/>
  <c r="I80" i="9"/>
  <c r="G67" i="9"/>
  <c r="X27" i="9"/>
  <c r="M33" i="9"/>
  <c r="K83" i="9"/>
  <c r="N91" i="9"/>
  <c r="E52" i="9"/>
  <c r="C61" i="9"/>
  <c r="K60" i="9"/>
  <c r="G10" i="9"/>
  <c r="X14" i="9"/>
  <c r="N31" i="9"/>
  <c r="N79" i="9"/>
  <c r="L55" i="9"/>
  <c r="C29" i="9"/>
  <c r="J71" i="9"/>
  <c r="Q73" i="9"/>
  <c r="R102" i="9"/>
  <c r="T98" i="9"/>
  <c r="Q93" i="9"/>
  <c r="Q60" i="9"/>
  <c r="K88" i="9"/>
  <c r="K22" i="9"/>
  <c r="R42" i="9"/>
  <c r="P27" i="9"/>
  <c r="U77" i="9"/>
  <c r="P25" i="9"/>
  <c r="X104" i="9"/>
  <c r="P64" i="9"/>
  <c r="F62" i="9"/>
  <c r="G60" i="9"/>
  <c r="H16" i="9"/>
  <c r="J47" i="9"/>
  <c r="F55" i="9"/>
  <c r="V9" i="9"/>
  <c r="D16" i="9"/>
  <c r="C88" i="9"/>
  <c r="I52" i="9"/>
  <c r="T38" i="9"/>
  <c r="S72" i="9"/>
  <c r="K80" i="9"/>
  <c r="H69" i="9"/>
  <c r="R53" i="9"/>
  <c r="S89" i="9"/>
  <c r="K37" i="9"/>
  <c r="F17" i="9"/>
  <c r="H68" i="9"/>
  <c r="R68" i="9"/>
  <c r="L65" i="9"/>
  <c r="J22" i="9"/>
  <c r="D27" i="9"/>
  <c r="V70" i="9"/>
  <c r="D67" i="9"/>
  <c r="Q17" i="9"/>
  <c r="G11" i="9"/>
  <c r="V29" i="9"/>
  <c r="U13" i="9"/>
  <c r="S35" i="9"/>
  <c r="L29" i="9"/>
  <c r="B41" i="9"/>
  <c r="F68" i="9"/>
  <c r="S87" i="9"/>
  <c r="J8" i="9"/>
  <c r="V24" i="9"/>
  <c r="J53" i="9"/>
  <c r="Q11" i="9"/>
  <c r="P78" i="9"/>
  <c r="K46" i="9"/>
  <c r="C85" i="9"/>
  <c r="O17" i="9"/>
  <c r="H18" i="9"/>
  <c r="T75" i="9"/>
  <c r="W76" i="9"/>
  <c r="L22" i="9"/>
  <c r="I34" i="9"/>
  <c r="I6" i="9"/>
  <c r="T54" i="9"/>
  <c r="O63" i="9"/>
  <c r="Y90" i="9"/>
  <c r="P73" i="9"/>
  <c r="J62" i="9"/>
  <c r="S80" i="9"/>
  <c r="T97" i="9"/>
  <c r="H96" i="9"/>
  <c r="X28" i="9"/>
  <c r="E28" i="9"/>
  <c r="P43" i="9"/>
  <c r="U105" i="9"/>
  <c r="V67" i="9"/>
  <c r="N60" i="9"/>
  <c r="V73" i="9"/>
  <c r="E95" i="9"/>
  <c r="U80" i="9"/>
  <c r="L35" i="9"/>
  <c r="F83" i="9"/>
  <c r="C74" i="9"/>
  <c r="W97" i="9"/>
  <c r="Y29" i="9"/>
  <c r="O101" i="9"/>
  <c r="S55" i="9"/>
  <c r="P38" i="9"/>
  <c r="V80" i="9"/>
  <c r="H72" i="9"/>
  <c r="G39" i="9"/>
  <c r="X66" i="9"/>
  <c r="H15" i="9"/>
  <c r="W55" i="9"/>
  <c r="O105" i="9"/>
  <c r="B72" i="9"/>
  <c r="F63" i="9"/>
  <c r="U48" i="9"/>
  <c r="T21" i="9"/>
  <c r="P86" i="9"/>
  <c r="M39" i="9"/>
  <c r="R88" i="9"/>
  <c r="L45" i="9"/>
  <c r="H93" i="9"/>
  <c r="N51" i="9"/>
  <c r="C27" i="9"/>
  <c r="V59" i="9"/>
  <c r="J49" i="9"/>
  <c r="N63" i="9"/>
  <c r="F21" i="9"/>
  <c r="K79" i="9"/>
  <c r="V98" i="9"/>
  <c r="R104" i="9"/>
  <c r="O24" i="9"/>
  <c r="H46" i="9"/>
  <c r="D56" i="9"/>
  <c r="H17" i="9"/>
  <c r="C15" i="9"/>
  <c r="V44" i="9"/>
  <c r="G43" i="9"/>
  <c r="U87" i="9"/>
  <c r="K13" i="9"/>
  <c r="O71" i="9"/>
  <c r="S19" i="9"/>
  <c r="F73" i="9"/>
  <c r="D13" i="9"/>
  <c r="F47" i="9"/>
  <c r="F9" i="9"/>
  <c r="W21" i="9"/>
  <c r="P31" i="9"/>
  <c r="V79" i="9"/>
  <c r="S63" i="9"/>
  <c r="J50" i="9"/>
  <c r="L90" i="9"/>
  <c r="I58" i="9"/>
  <c r="Q78" i="9"/>
  <c r="N69" i="9"/>
  <c r="P44" i="9"/>
  <c r="X21" i="9"/>
  <c r="T92" i="9"/>
  <c r="P62" i="9"/>
  <c r="V69" i="9"/>
  <c r="O36" i="9"/>
  <c r="Q21" i="9"/>
  <c r="K10" i="9"/>
  <c r="Y101" i="9"/>
  <c r="C43" i="9"/>
  <c r="T39" i="9"/>
  <c r="X36" i="9"/>
  <c r="X16" i="9"/>
  <c r="W102" i="9"/>
  <c r="U86" i="9"/>
  <c r="M98" i="9"/>
  <c r="O92" i="9"/>
  <c r="H92" i="9"/>
  <c r="P39" i="9"/>
  <c r="X30" i="9"/>
  <c r="Q18" i="9"/>
  <c r="Q39" i="9"/>
  <c r="H63" i="9"/>
  <c r="W49" i="9"/>
  <c r="E92" i="9"/>
  <c r="I20" i="9"/>
  <c r="P96" i="9"/>
  <c r="R61" i="9"/>
  <c r="N21" i="9"/>
  <c r="T20" i="9"/>
  <c r="P81" i="9"/>
  <c r="V65" i="9"/>
  <c r="I97" i="9"/>
  <c r="B73" i="9"/>
  <c r="T101" i="9"/>
  <c r="M27" i="9"/>
  <c r="K26" i="9"/>
  <c r="Q62" i="9"/>
  <c r="N49" i="9"/>
  <c r="Y59" i="9"/>
  <c r="K40" i="9"/>
  <c r="U42" i="9"/>
  <c r="H64" i="9"/>
  <c r="R97" i="9"/>
  <c r="I29" i="9"/>
  <c r="J70" i="9"/>
  <c r="J81" i="9"/>
  <c r="X11" i="9"/>
  <c r="K78" i="9"/>
  <c r="N89" i="9"/>
  <c r="T25" i="9"/>
  <c r="T100" i="9"/>
  <c r="D103" i="9"/>
  <c r="O35" i="9"/>
  <c r="O102" i="9"/>
  <c r="Q84" i="9"/>
  <c r="Y105" i="9"/>
  <c r="L32" i="9"/>
  <c r="R38" i="9"/>
  <c r="T6" i="9"/>
  <c r="V38" i="9"/>
  <c r="V76" i="9"/>
  <c r="F10" i="9"/>
  <c r="T71" i="9"/>
  <c r="C33" i="9"/>
  <c r="E13" i="9"/>
  <c r="C22" i="9"/>
  <c r="V12" i="9"/>
  <c r="S41" i="9"/>
  <c r="F79" i="9"/>
  <c r="F54" i="9"/>
  <c r="G58" i="9"/>
  <c r="B16" i="9"/>
  <c r="T27" i="9"/>
  <c r="J97" i="9"/>
  <c r="I24" i="9"/>
  <c r="N56" i="9"/>
  <c r="S99" i="9"/>
  <c r="B47" i="9"/>
  <c r="O51" i="9"/>
  <c r="T77" i="9"/>
  <c r="W66" i="9"/>
  <c r="T88" i="9"/>
  <c r="U7" i="9"/>
  <c r="S12" i="9"/>
  <c r="D92" i="9"/>
  <c r="B50" i="9"/>
  <c r="Q83" i="9"/>
  <c r="W98" i="9"/>
  <c r="Q49" i="9"/>
  <c r="V6" i="9"/>
  <c r="Q61" i="9"/>
  <c r="P21" i="9"/>
  <c r="F58" i="9"/>
  <c r="X69" i="9"/>
  <c r="B82" i="9"/>
  <c r="W68" i="9"/>
  <c r="C23" i="9"/>
  <c r="F98" i="9"/>
  <c r="S71" i="9"/>
  <c r="R7" i="9"/>
  <c r="V33" i="9"/>
  <c r="C56" i="9"/>
  <c r="O69" i="9"/>
  <c r="P42" i="9"/>
  <c r="V31" i="9"/>
  <c r="S10" i="9"/>
  <c r="U19" i="9"/>
  <c r="N28" i="9"/>
  <c r="W79" i="9"/>
  <c r="E56" i="9"/>
  <c r="D82" i="9"/>
  <c r="X20" i="9"/>
  <c r="R19" i="9"/>
  <c r="E102" i="9"/>
  <c r="Q85" i="9"/>
  <c r="W41" i="9"/>
  <c r="J30" i="9"/>
  <c r="E15" i="9"/>
  <c r="C12" i="9"/>
  <c r="E64" i="9"/>
  <c r="C35" i="9"/>
  <c r="U9" i="9"/>
  <c r="K90" i="9"/>
  <c r="J73" i="9"/>
  <c r="Q41" i="9"/>
  <c r="Y20" i="9"/>
  <c r="D79" i="9"/>
  <c r="B56" i="9"/>
  <c r="O16" i="9"/>
  <c r="J23" i="9"/>
  <c r="Y60" i="9"/>
  <c r="B77" i="9"/>
  <c r="H84" i="9"/>
  <c r="B26" i="9"/>
  <c r="F91" i="9"/>
  <c r="V46" i="9"/>
  <c r="I64" i="9"/>
  <c r="G85" i="9"/>
  <c r="R50" i="9"/>
  <c r="T95" i="9"/>
  <c r="Q47" i="9"/>
  <c r="F86" i="9"/>
  <c r="D24" i="9"/>
  <c r="H35" i="9"/>
  <c r="X22" i="9"/>
  <c r="O75" i="9"/>
  <c r="U12" i="9"/>
  <c r="M43" i="9"/>
  <c r="M18" i="9"/>
  <c r="V56" i="9"/>
  <c r="M35" i="9"/>
  <c r="I47" i="9"/>
  <c r="X63" i="9"/>
  <c r="X59" i="9"/>
  <c r="R40" i="9"/>
  <c r="J36" i="9"/>
  <c r="L10" i="9"/>
  <c r="G72" i="9"/>
  <c r="Q16" i="9"/>
  <c r="L37" i="9"/>
  <c r="E86" i="9"/>
  <c r="I56" i="9"/>
  <c r="U43" i="9"/>
  <c r="S67" i="9"/>
  <c r="P65" i="9"/>
  <c r="I87" i="9"/>
  <c r="F42" i="9"/>
  <c r="L39" i="9"/>
  <c r="V72" i="9"/>
  <c r="C94" i="9"/>
  <c r="T94" i="9"/>
  <c r="M32" i="9"/>
  <c r="Q72" i="9"/>
  <c r="F52" i="9"/>
  <c r="L58" i="9"/>
  <c r="U35" i="9"/>
  <c r="R69" i="9"/>
  <c r="W90" i="9"/>
  <c r="P52" i="9"/>
  <c r="O91" i="9"/>
  <c r="Y32" i="9"/>
  <c r="S14" i="9"/>
  <c r="C30" i="9"/>
  <c r="L62" i="9"/>
  <c r="T84" i="9"/>
  <c r="U88" i="9"/>
  <c r="G64" i="9"/>
  <c r="W60" i="9"/>
  <c r="H23" i="9"/>
  <c r="N7" i="9"/>
  <c r="W101" i="9"/>
  <c r="K58" i="9"/>
  <c r="X18" i="9"/>
  <c r="R22" i="9"/>
  <c r="E62" i="9"/>
  <c r="T53" i="9"/>
  <c r="S50" i="9"/>
  <c r="R55" i="9"/>
  <c r="V74" i="9"/>
  <c r="I88" i="9"/>
  <c r="V102" i="9"/>
  <c r="X35" i="9"/>
  <c r="L80" i="9"/>
  <c r="M11" i="9"/>
  <c r="D51" i="9"/>
  <c r="Q105" i="9"/>
  <c r="V41" i="9"/>
  <c r="Q90" i="9"/>
  <c r="G45" i="9"/>
  <c r="X67" i="9"/>
  <c r="B66" i="9"/>
  <c r="O100" i="9"/>
  <c r="M22" i="9"/>
  <c r="M25" i="9"/>
  <c r="T91" i="9"/>
  <c r="K71" i="9"/>
  <c r="M57" i="9"/>
  <c r="B8" i="9"/>
  <c r="F77" i="9"/>
  <c r="S28" i="9"/>
  <c r="K105" i="9"/>
  <c r="K8" i="9"/>
  <c r="L97" i="9"/>
  <c r="E63" i="9"/>
  <c r="L21" i="9"/>
  <c r="Y39" i="9"/>
  <c r="H32" i="9"/>
  <c r="K47" i="9"/>
  <c r="E7" i="9"/>
  <c r="F95" i="9"/>
  <c r="O56" i="9"/>
  <c r="B7" i="9"/>
  <c r="D33" i="9"/>
  <c r="F13" i="9"/>
  <c r="Y57" i="9"/>
  <c r="D54" i="9"/>
  <c r="W26" i="9"/>
  <c r="D9" i="9"/>
  <c r="W22" i="9"/>
  <c r="B58" i="9"/>
  <c r="G54" i="9"/>
  <c r="Y93" i="9"/>
  <c r="Y23" i="9"/>
  <c r="C31" i="9"/>
  <c r="V100" i="9"/>
  <c r="Y42" i="9"/>
  <c r="X46" i="9"/>
  <c r="F12" i="9"/>
  <c r="J100" i="9"/>
  <c r="X78" i="9"/>
  <c r="F71" i="9"/>
  <c r="H53" i="9"/>
  <c r="L14" i="9"/>
  <c r="S60" i="9"/>
  <c r="P72" i="9"/>
  <c r="W74" i="9"/>
  <c r="I48" i="9"/>
  <c r="G27" i="9"/>
  <c r="Q26" i="9"/>
  <c r="T60" i="9"/>
  <c r="D86" i="9"/>
  <c r="G90" i="9"/>
  <c r="P29" i="9"/>
  <c r="Y30" i="9"/>
  <c r="D58" i="9"/>
  <c r="P79" i="9"/>
  <c r="E45" i="9"/>
  <c r="S95" i="9"/>
  <c r="L63" i="9"/>
  <c r="C83" i="9"/>
  <c r="J16" i="9"/>
  <c r="X68" i="9"/>
  <c r="S58" i="9"/>
  <c r="M42" i="9"/>
  <c r="R49" i="9"/>
  <c r="M19" i="9"/>
  <c r="R29" i="9"/>
  <c r="H104" i="9"/>
  <c r="H99" i="9"/>
  <c r="J25" i="9"/>
  <c r="P11" i="9"/>
  <c r="N86" i="9"/>
  <c r="B98" i="9"/>
  <c r="F48" i="9"/>
  <c r="D65" i="9"/>
  <c r="O28" i="9"/>
  <c r="N43" i="9"/>
  <c r="B71" i="9"/>
  <c r="W24" i="9"/>
  <c r="P9" i="9"/>
  <c r="D6" i="9"/>
  <c r="W83" i="9"/>
  <c r="O52" i="9"/>
  <c r="B6" i="9"/>
  <c r="L85" i="9"/>
  <c r="S39" i="9"/>
  <c r="Y58" i="9"/>
  <c r="U71" i="9"/>
  <c r="S37" i="9"/>
  <c r="R91" i="9"/>
  <c r="J21" i="9"/>
  <c r="J76" i="9"/>
  <c r="I49" i="9"/>
  <c r="V61" i="9"/>
  <c r="D96" i="9"/>
  <c r="H30" i="9"/>
  <c r="I36" i="9"/>
  <c r="U27" i="9"/>
  <c r="I22" i="9"/>
  <c r="M44" i="9"/>
  <c r="S102" i="9"/>
  <c r="N102" i="9"/>
  <c r="B37" i="9"/>
  <c r="O33" i="9"/>
  <c r="L7" i="9"/>
  <c r="P47" i="9"/>
  <c r="T22" i="9"/>
  <c r="M75" i="9"/>
  <c r="K55" i="9"/>
  <c r="M95" i="9"/>
  <c r="S40" i="9"/>
  <c r="D76" i="9"/>
  <c r="R23" i="9"/>
  <c r="Y19" i="9"/>
  <c r="Y63" i="9"/>
  <c r="D104" i="9"/>
  <c r="D29" i="9"/>
  <c r="N104" i="9"/>
  <c r="F90" i="9"/>
  <c r="M77" i="9"/>
  <c r="X61" i="9"/>
  <c r="R96" i="9"/>
  <c r="D23" i="9"/>
  <c r="H28" i="9"/>
  <c r="W87" i="9"/>
  <c r="B80" i="9"/>
  <c r="D59" i="9"/>
  <c r="X58" i="9"/>
  <c r="U66" i="9"/>
  <c r="Q37" i="9"/>
  <c r="D78" i="9"/>
  <c r="F61" i="9"/>
  <c r="J44" i="9"/>
  <c r="O39" i="9"/>
  <c r="K101" i="9"/>
  <c r="M48" i="9"/>
  <c r="T74" i="9"/>
  <c r="W10" i="9"/>
  <c r="T78" i="9"/>
  <c r="H56" i="9"/>
  <c r="D57" i="9"/>
  <c r="B67" i="9"/>
  <c r="K21" i="9"/>
  <c r="E12" i="9"/>
  <c r="P16" i="9"/>
  <c r="J45" i="9"/>
  <c r="B103" i="9"/>
  <c r="L75" i="9"/>
  <c r="N22" i="9"/>
  <c r="J19" i="9"/>
  <c r="Q76" i="9"/>
  <c r="T87" i="9"/>
  <c r="K62" i="9"/>
  <c r="W53" i="9"/>
  <c r="J46" i="9"/>
  <c r="P57" i="9"/>
  <c r="J7" i="9"/>
  <c r="L61" i="9"/>
  <c r="H38" i="9"/>
  <c r="T80" i="9"/>
  <c r="M73" i="9"/>
  <c r="T14" i="9"/>
  <c r="C39" i="9"/>
  <c r="M45" i="9"/>
  <c r="H52" i="9"/>
  <c r="M82" i="9"/>
  <c r="Y61" i="9"/>
  <c r="G52" i="9"/>
  <c r="T32" i="9"/>
  <c r="I21" i="9"/>
  <c r="N87" i="9"/>
  <c r="P19" i="9"/>
  <c r="R34" i="9"/>
  <c r="U37" i="9"/>
  <c r="E51" i="9"/>
  <c r="M29" i="9"/>
  <c r="D55" i="9"/>
  <c r="B12" i="9"/>
  <c r="F38" i="9"/>
  <c r="C16" i="9"/>
  <c r="M65" i="9"/>
  <c r="O79" i="9"/>
  <c r="J101" i="9"/>
  <c r="B62" i="9"/>
  <c r="I28" i="9"/>
  <c r="O20" i="9"/>
  <c r="T63" i="9"/>
  <c r="V40" i="9"/>
  <c r="W34" i="9"/>
  <c r="D80" i="9"/>
  <c r="H62" i="9"/>
  <c r="K48" i="9"/>
  <c r="Y53" i="9"/>
  <c r="Y52" i="9"/>
  <c r="U20" i="9"/>
  <c r="K104" i="9"/>
  <c r="R12" i="9"/>
  <c r="X39" i="9"/>
  <c r="G33" i="9"/>
  <c r="J99" i="9"/>
  <c r="N9" i="9"/>
  <c r="S79" i="9"/>
  <c r="W67" i="9"/>
  <c r="J84" i="9"/>
  <c r="B63" i="9"/>
  <c r="C64" i="9"/>
  <c r="Q75" i="9"/>
  <c r="Q51" i="9"/>
  <c r="I53" i="9"/>
  <c r="H94" i="9"/>
  <c r="N30" i="9"/>
  <c r="R84" i="9"/>
  <c r="R105" i="9"/>
  <c r="W13" i="9"/>
  <c r="B97" i="9"/>
  <c r="S53" i="9"/>
  <c r="N83" i="9"/>
  <c r="I82" i="9"/>
  <c r="R21" i="9"/>
  <c r="V48" i="9"/>
  <c r="E77" i="9"/>
  <c r="G103" i="9"/>
  <c r="N23" i="9"/>
  <c r="M47" i="9"/>
  <c r="C46" i="9"/>
  <c r="O55" i="9"/>
  <c r="L31" i="9"/>
  <c r="K18" i="9"/>
  <c r="J51" i="9"/>
  <c r="M55" i="9"/>
  <c r="X56" i="9"/>
  <c r="S42" i="9"/>
  <c r="G101" i="9"/>
  <c r="S100" i="9"/>
  <c r="J41" i="9"/>
  <c r="K59" i="9"/>
  <c r="U44" i="9"/>
  <c r="C25" i="9"/>
  <c r="C10" i="9"/>
  <c r="Y26" i="9"/>
  <c r="P36" i="9"/>
  <c r="S94" i="9"/>
  <c r="Y76" i="9"/>
  <c r="G7" i="9"/>
  <c r="C48" i="9"/>
  <c r="M76" i="9"/>
  <c r="V66" i="9"/>
  <c r="U32" i="9"/>
  <c r="L19" i="9"/>
  <c r="N10" i="9"/>
  <c r="M20" i="9"/>
  <c r="X23" i="9"/>
  <c r="I33" i="9"/>
  <c r="J27" i="9"/>
  <c r="S85" i="9"/>
  <c r="J15" i="9"/>
  <c r="H75" i="9"/>
  <c r="T65" i="9"/>
  <c r="B84" i="9"/>
  <c r="O74" i="9"/>
  <c r="C21" i="9"/>
  <c r="D20" i="9"/>
  <c r="D35" i="9"/>
  <c r="Q96" i="9"/>
  <c r="P34" i="9"/>
  <c r="O70" i="9"/>
  <c r="H76" i="9"/>
  <c r="N82" i="9"/>
  <c r="C81" i="9"/>
  <c r="N46" i="9"/>
  <c r="L18" i="9"/>
  <c r="C63" i="9"/>
  <c r="U22" i="9"/>
  <c r="B54" i="9"/>
  <c r="Q10" i="9"/>
  <c r="B90" i="9"/>
  <c r="X31" i="9"/>
  <c r="F41" i="9"/>
  <c r="P63" i="9"/>
  <c r="E49" i="9"/>
  <c r="L48" i="9"/>
  <c r="M64" i="9"/>
  <c r="R46" i="9"/>
  <c r="D66" i="9"/>
  <c r="B51" i="9"/>
  <c r="L92" i="9"/>
  <c r="Q20" i="9"/>
  <c r="F75" i="9"/>
  <c r="J79" i="9"/>
  <c r="E88" i="9"/>
  <c r="V90" i="9"/>
  <c r="I17" i="9"/>
  <c r="M59" i="9"/>
  <c r="K19" i="9"/>
  <c r="T86" i="9"/>
  <c r="O57" i="9"/>
  <c r="H9" i="9"/>
  <c r="O19" i="9"/>
  <c r="M46" i="9"/>
  <c r="P84" i="9"/>
  <c r="U49" i="9"/>
  <c r="X99" i="9"/>
  <c r="V101" i="9"/>
  <c r="R30" i="9"/>
  <c r="D7" i="9"/>
  <c r="J103" i="9"/>
  <c r="C17" i="9"/>
  <c r="G93" i="9"/>
  <c r="I13" i="9"/>
  <c r="V26" i="9"/>
  <c r="N48" i="9"/>
  <c r="L69" i="9"/>
  <c r="T36" i="9"/>
  <c r="X41" i="9"/>
  <c r="U104" i="9"/>
  <c r="F66" i="9"/>
  <c r="Y89" i="9"/>
  <c r="U78" i="9"/>
  <c r="P48" i="9"/>
  <c r="P77" i="9"/>
  <c r="Y73" i="9"/>
  <c r="S36" i="9"/>
  <c r="T26" i="9"/>
  <c r="B74" i="9"/>
  <c r="R52" i="9"/>
  <c r="K93" i="9"/>
  <c r="S65" i="9"/>
  <c r="H33" i="9"/>
  <c r="Y33" i="9"/>
  <c r="U17" i="9"/>
  <c r="O73" i="9"/>
  <c r="O8" i="9"/>
  <c r="Q31" i="9"/>
  <c r="S45" i="9"/>
  <c r="B29" i="9"/>
  <c r="G50" i="9"/>
  <c r="R67" i="9"/>
  <c r="Q95" i="9"/>
  <c r="E74" i="9"/>
  <c r="I74" i="9"/>
  <c r="T18" i="9"/>
  <c r="N75" i="9"/>
  <c r="B94" i="9"/>
  <c r="M72" i="9"/>
  <c r="P24" i="9"/>
  <c r="I103" i="9"/>
  <c r="M51" i="9"/>
  <c r="E25" i="9"/>
  <c r="L6" i="9"/>
  <c r="H61" i="9"/>
  <c r="R79" i="9"/>
  <c r="H19" i="9"/>
  <c r="W96" i="9"/>
  <c r="Q97" i="9"/>
  <c r="S57" i="9"/>
  <c r="S44" i="9"/>
  <c r="X42" i="9"/>
  <c r="C70" i="9"/>
  <c r="I92" i="9"/>
  <c r="M86" i="9"/>
  <c r="X48" i="9"/>
  <c r="W92" i="9"/>
  <c r="C98" i="9"/>
  <c r="U51" i="9"/>
  <c r="D62" i="9"/>
  <c r="B10" i="9"/>
  <c r="K85" i="9"/>
  <c r="J66" i="9"/>
  <c r="O21" i="9"/>
  <c r="K52" i="9"/>
  <c r="U60" i="9"/>
  <c r="J52" i="9"/>
  <c r="H12" i="9"/>
  <c r="H98" i="9"/>
  <c r="Q15" i="9"/>
  <c r="Q27" i="9"/>
  <c r="T13" i="9"/>
  <c r="K96" i="9"/>
  <c r="X72" i="9"/>
  <c r="Q82" i="9"/>
  <c r="L71" i="9"/>
  <c r="Q9" i="9"/>
  <c r="B69" i="9"/>
  <c r="C72" i="9"/>
  <c r="F16" i="9"/>
  <c r="E6" i="9"/>
  <c r="U59" i="9"/>
  <c r="B45" i="9"/>
  <c r="C101" i="9"/>
  <c r="E38" i="9"/>
  <c r="K28" i="9"/>
  <c r="E89" i="9"/>
  <c r="Y99" i="9"/>
  <c r="G79" i="9"/>
  <c r="V17" i="9"/>
  <c r="S27" i="9"/>
  <c r="N99" i="9"/>
  <c r="D40" i="9"/>
  <c r="G66" i="9"/>
  <c r="H102" i="9"/>
  <c r="H22" i="9"/>
  <c r="W20" i="9"/>
  <c r="D81" i="9"/>
  <c r="I26" i="9"/>
  <c r="P71" i="9"/>
  <c r="B68" i="9"/>
  <c r="E82" i="9"/>
  <c r="Q25" i="9"/>
  <c r="N16" i="9"/>
  <c r="R18" i="9"/>
  <c r="S68" i="9"/>
  <c r="G23" i="9"/>
  <c r="D48" i="9"/>
  <c r="O67" i="9"/>
  <c r="P59" i="9"/>
  <c r="E100" i="9"/>
  <c r="J104" i="9"/>
  <c r="B104" i="9"/>
  <c r="I100" i="9"/>
  <c r="F36" i="9"/>
  <c r="M31" i="9"/>
  <c r="T83" i="9"/>
  <c r="B13" i="9"/>
  <c r="X77" i="9"/>
  <c r="S90" i="9"/>
  <c r="T68" i="9"/>
  <c r="G89" i="9"/>
  <c r="R9" i="9"/>
  <c r="I51" i="9"/>
  <c r="N66" i="9"/>
  <c r="S91" i="9"/>
  <c r="G34" i="9"/>
  <c r="U29" i="9"/>
  <c r="B30" i="9"/>
  <c r="Q58" i="9"/>
  <c r="Q104" i="9"/>
  <c r="B57" i="9"/>
  <c r="K35" i="9"/>
  <c r="K25" i="9"/>
  <c r="R14" i="9"/>
  <c r="E76" i="9"/>
  <c r="P90" i="9"/>
  <c r="N44" i="9"/>
  <c r="Q102" i="9"/>
  <c r="W28" i="9"/>
  <c r="N11" i="9"/>
  <c r="H6" i="9"/>
  <c r="N61" i="9"/>
  <c r="X103" i="9"/>
  <c r="E19" i="9"/>
  <c r="H87" i="9"/>
  <c r="I35" i="9"/>
  <c r="X19" i="9"/>
  <c r="C42" i="9"/>
  <c r="D28" i="9"/>
  <c r="R54" i="9"/>
  <c r="W69" i="9"/>
  <c r="W29" i="9"/>
  <c r="U95" i="9"/>
  <c r="G20" i="9"/>
  <c r="Y14" i="9"/>
  <c r="F8" i="9"/>
  <c r="I104" i="9"/>
  <c r="D77" i="9"/>
  <c r="P12" i="9"/>
  <c r="D72" i="9"/>
  <c r="J58" i="9"/>
  <c r="P80" i="9"/>
  <c r="F22" i="9"/>
  <c r="E96" i="9"/>
  <c r="B87" i="9"/>
  <c r="D105" i="9"/>
  <c r="N17" i="9"/>
  <c r="J63" i="9"/>
  <c r="S25" i="9"/>
  <c r="S84" i="9"/>
  <c r="K24" i="9"/>
  <c r="S29" i="9"/>
  <c r="R8" i="9"/>
  <c r="B86" i="9"/>
  <c r="B44" i="9"/>
  <c r="C20" i="9"/>
  <c r="G47" i="9"/>
  <c r="D63" i="9"/>
  <c r="I41" i="9"/>
  <c r="C7" i="9"/>
  <c r="F100" i="9"/>
  <c r="M36" i="9"/>
  <c r="C58" i="9"/>
  <c r="B52" i="9"/>
  <c r="O65" i="9"/>
  <c r="G32" i="9"/>
  <c r="Y86" i="9"/>
  <c r="Q42" i="9"/>
  <c r="W65" i="9"/>
  <c r="I67" i="9"/>
  <c r="U46" i="9"/>
  <c r="L47" i="9"/>
  <c r="H59" i="9"/>
  <c r="O31" i="9"/>
  <c r="E97" i="9"/>
  <c r="N25" i="9"/>
  <c r="J102" i="9"/>
  <c r="W62" i="9"/>
  <c r="P30" i="9"/>
  <c r="X34" i="9"/>
  <c r="O98" i="9"/>
  <c r="M58" i="9"/>
  <c r="C104" i="9"/>
  <c r="T50" i="9"/>
  <c r="K7" i="9"/>
  <c r="D41" i="9"/>
  <c r="F97" i="9"/>
  <c r="Y84" i="9"/>
  <c r="R39" i="9"/>
  <c r="K75" i="9"/>
  <c r="J10" i="9"/>
  <c r="G29" i="9"/>
  <c r="K56" i="9"/>
  <c r="Q8" i="9"/>
  <c r="F30" i="9"/>
  <c r="C90" i="9"/>
  <c r="U58" i="9"/>
  <c r="C65" i="9"/>
  <c r="F34" i="9"/>
  <c r="U23" i="9"/>
  <c r="H43" i="9"/>
  <c r="X24" i="9"/>
  <c r="X33" i="9"/>
  <c r="I9" i="9"/>
  <c r="Y21" i="9"/>
  <c r="T45" i="9"/>
  <c r="J87" i="9"/>
  <c r="I68" i="9"/>
  <c r="N80" i="9"/>
  <c r="R10" i="9"/>
  <c r="H13" i="9"/>
  <c r="C14" i="9"/>
  <c r="J26" i="9"/>
  <c r="X13" i="9"/>
  <c r="K100" i="9"/>
  <c r="Q98" i="9"/>
  <c r="B70" i="9"/>
  <c r="L52" i="9"/>
  <c r="L79" i="9"/>
  <c r="M74" i="9"/>
  <c r="F23" i="9"/>
  <c r="V77" i="9"/>
  <c r="O86" i="9"/>
  <c r="W100" i="9"/>
  <c r="X96" i="9"/>
  <c r="U89" i="9"/>
  <c r="O53" i="9"/>
  <c r="F18" i="9"/>
  <c r="H42" i="9"/>
  <c r="M94" i="9"/>
  <c r="K63" i="9"/>
  <c r="V89" i="9"/>
  <c r="R32" i="9"/>
  <c r="J68" i="9"/>
  <c r="U62" i="9"/>
  <c r="J11" i="9"/>
  <c r="G84" i="9"/>
  <c r="I78" i="9"/>
  <c r="R78" i="9"/>
  <c r="U33" i="9"/>
  <c r="B17" i="9"/>
  <c r="E57" i="9"/>
  <c r="R87" i="9"/>
  <c r="H71" i="9"/>
  <c r="Q40" i="9"/>
  <c r="Y45" i="9"/>
  <c r="F40" i="9"/>
  <c r="P103" i="9"/>
  <c r="U65" i="9"/>
  <c r="K91" i="9"/>
  <c r="N15" i="9"/>
  <c r="S8" i="9"/>
  <c r="R83" i="9"/>
  <c r="X38" i="9"/>
  <c r="T82" i="9"/>
  <c r="X6" i="9"/>
  <c r="R28" i="9"/>
  <c r="W14" i="9"/>
  <c r="V37" i="9"/>
  <c r="P83" i="9"/>
  <c r="G53" i="9"/>
  <c r="I19" i="9"/>
  <c r="F11" i="9"/>
  <c r="K27" i="9"/>
  <c r="P68" i="9"/>
  <c r="G26" i="9"/>
  <c r="H78" i="9"/>
  <c r="I93" i="9"/>
  <c r="F26" i="9"/>
  <c r="L36" i="9"/>
  <c r="J65" i="9"/>
  <c r="B65" i="9"/>
  <c r="X52" i="9"/>
  <c r="F96" i="9"/>
  <c r="U21" i="9"/>
  <c r="C52" i="9"/>
  <c r="P92" i="9"/>
  <c r="G75" i="9"/>
  <c r="B31" i="9"/>
  <c r="W88" i="9"/>
  <c r="X76" i="9"/>
  <c r="J83" i="9"/>
  <c r="O66" i="9"/>
  <c r="H81" i="9"/>
  <c r="E105" i="9"/>
  <c r="M103" i="9"/>
  <c r="M68" i="9"/>
  <c r="X74" i="9"/>
  <c r="F80" i="9"/>
  <c r="Y25" i="9"/>
  <c r="N53" i="9"/>
  <c r="W95" i="9"/>
  <c r="X84" i="9"/>
  <c r="P88" i="9"/>
  <c r="O25" i="9"/>
  <c r="D22" i="9"/>
  <c r="S82" i="9"/>
  <c r="B61" i="9"/>
  <c r="R64" i="9"/>
  <c r="B34" i="9"/>
  <c r="S75" i="9"/>
  <c r="L26" i="9"/>
  <c r="E20" i="9"/>
  <c r="U10" i="9"/>
  <c r="Q87" i="9"/>
  <c r="I27" i="9"/>
  <c r="X62" i="9"/>
  <c r="V63" i="9"/>
  <c r="T64" i="9"/>
  <c r="D100" i="9"/>
  <c r="C19" i="9"/>
  <c r="D53" i="9"/>
  <c r="H65" i="9"/>
  <c r="J31" i="9"/>
  <c r="B11" i="9"/>
  <c r="B100" i="9"/>
  <c r="K57" i="9"/>
  <c r="V15" i="9"/>
  <c r="U98" i="9"/>
  <c r="V7" i="9"/>
  <c r="I42" i="9"/>
  <c r="D61" i="9"/>
  <c r="Y75" i="9"/>
  <c r="I91" i="9"/>
  <c r="Q103" i="9"/>
  <c r="B83" i="9"/>
  <c r="N50" i="9"/>
  <c r="W18" i="9"/>
  <c r="V86" i="9"/>
  <c r="U11" i="9"/>
  <c r="N90" i="9"/>
  <c r="F78" i="9"/>
  <c r="F69" i="9"/>
  <c r="E66" i="9"/>
  <c r="M87" i="9"/>
  <c r="U38" i="9"/>
  <c r="B20" i="9"/>
  <c r="F84" i="9"/>
  <c r="U55" i="9"/>
  <c r="X17" i="9"/>
  <c r="J40" i="9"/>
  <c r="O32" i="9"/>
  <c r="K36" i="9"/>
  <c r="G83" i="9"/>
  <c r="R15" i="9"/>
  <c r="N24" i="9"/>
  <c r="W64" i="9"/>
  <c r="O14" i="9"/>
  <c r="D17" i="9"/>
  <c r="R26" i="9"/>
  <c r="K70" i="9"/>
  <c r="L49" i="9"/>
  <c r="L68" i="9"/>
  <c r="G86" i="9"/>
  <c r="F15" i="9"/>
  <c r="D98" i="9"/>
  <c r="E54" i="9"/>
  <c r="M16" i="9"/>
  <c r="G73" i="9"/>
  <c r="N33" i="9"/>
  <c r="D15" i="9"/>
  <c r="J98" i="9"/>
  <c r="P67" i="9"/>
  <c r="P54" i="9"/>
  <c r="F74" i="9"/>
  <c r="S46" i="9"/>
  <c r="U14" i="9"/>
  <c r="S86" i="9"/>
  <c r="E44" i="9"/>
  <c r="C60" i="9"/>
  <c r="U67" i="9"/>
  <c r="H21" i="9"/>
  <c r="C50" i="9"/>
  <c r="C49" i="9"/>
  <c r="B33" i="9"/>
  <c r="Q44" i="9"/>
  <c r="Q22" i="9"/>
  <c r="H37" i="9"/>
  <c r="D50" i="9"/>
  <c r="U96" i="9"/>
  <c r="Y97" i="9"/>
  <c r="S18" i="9"/>
  <c r="D74" i="9"/>
  <c r="E50" i="9"/>
  <c r="K77" i="9"/>
  <c r="F81" i="9"/>
  <c r="D46" i="9"/>
  <c r="C8" i="9"/>
  <c r="S16" i="9"/>
  <c r="P56" i="9"/>
  <c r="U15" i="9"/>
  <c r="V91" i="9"/>
  <c r="Q35" i="9"/>
  <c r="U6" i="9"/>
  <c r="V88" i="9"/>
  <c r="L40" i="9"/>
  <c r="I44" i="9"/>
  <c r="I98" i="9"/>
  <c r="B101" i="9"/>
  <c r="N72" i="9"/>
  <c r="B21" i="9"/>
  <c r="T52" i="9"/>
  <c r="J13" i="9"/>
  <c r="I77" i="9"/>
  <c r="L96" i="9"/>
  <c r="I81" i="9"/>
  <c r="T67" i="9"/>
  <c r="K68" i="9"/>
  <c r="H50" i="9"/>
  <c r="H24" i="9"/>
  <c r="R71" i="9"/>
  <c r="N29" i="9"/>
  <c r="C87" i="9"/>
  <c r="O18" i="9"/>
  <c r="W36" i="9"/>
  <c r="F88" i="9"/>
  <c r="J37" i="9"/>
  <c r="R11" i="9"/>
  <c r="N95" i="9"/>
  <c r="G28" i="9"/>
  <c r="T15" i="9"/>
  <c r="C71" i="9"/>
  <c r="U25" i="9"/>
  <c r="J38" i="9"/>
  <c r="S33" i="9"/>
  <c r="V49" i="9"/>
  <c r="M41" i="9"/>
  <c r="S32" i="9"/>
  <c r="P20" i="9"/>
  <c r="I7" i="9"/>
  <c r="X37" i="9"/>
  <c r="C105" i="9"/>
  <c r="H14" i="9"/>
  <c r="I15" i="9"/>
  <c r="E47" i="9"/>
  <c r="J56" i="9"/>
  <c r="S83" i="9"/>
  <c r="E26" i="9"/>
  <c r="O96" i="9"/>
  <c r="O88" i="9"/>
  <c r="Y82" i="9"/>
  <c r="F7" i="9"/>
  <c r="H7" i="9"/>
  <c r="E80" i="9"/>
  <c r="N71" i="9"/>
  <c r="D32" i="9"/>
  <c r="X82" i="9"/>
  <c r="E83" i="9"/>
  <c r="P61" i="9"/>
  <c r="C26" i="9"/>
  <c r="B38" i="9"/>
  <c r="I37" i="9"/>
  <c r="H83" i="9"/>
  <c r="O54" i="9"/>
  <c r="J14" i="9"/>
  <c r="L66" i="9"/>
  <c r="Q43" i="9"/>
  <c r="Y22" i="9"/>
  <c r="F82" i="9"/>
  <c r="C41" i="9"/>
  <c r="M38" i="9"/>
  <c r="R99" i="9"/>
  <c r="S48" i="9"/>
  <c r="K51" i="9"/>
  <c r="I79" i="9"/>
  <c r="V34" i="9"/>
  <c r="H95" i="9"/>
  <c r="V103" i="9"/>
  <c r="I39" i="9"/>
  <c r="J82" i="9"/>
  <c r="I50" i="9"/>
  <c r="C34" i="9"/>
  <c r="W30" i="9"/>
  <c r="Y31" i="9"/>
  <c r="C89" i="9"/>
  <c r="F56" i="9"/>
  <c r="N34" i="9"/>
  <c r="H74" i="9"/>
  <c r="Q74" i="9"/>
  <c r="K42" i="9"/>
  <c r="C24" i="9"/>
  <c r="P75" i="9"/>
  <c r="Y34" i="9"/>
  <c r="P82" i="9"/>
  <c r="F39" i="9"/>
  <c r="I70" i="9"/>
  <c r="M15" i="9"/>
  <c r="C97" i="9"/>
  <c r="W84" i="9"/>
  <c r="M97" i="9"/>
  <c r="H67" i="9"/>
  <c r="W99" i="9"/>
  <c r="L13" i="9"/>
  <c r="W85" i="9"/>
  <c r="R70" i="9"/>
  <c r="R47" i="9"/>
  <c r="D47" i="9"/>
  <c r="H80" i="9"/>
  <c r="J60" i="9"/>
  <c r="R93" i="9"/>
  <c r="V43" i="9"/>
  <c r="L20" i="9"/>
  <c r="S49" i="9"/>
  <c r="M6" i="9"/>
  <c r="B28" i="9"/>
  <c r="W7" i="9"/>
  <c r="F27" i="9"/>
  <c r="J59" i="9"/>
  <c r="C40" i="9"/>
  <c r="W56" i="9"/>
  <c r="R37" i="9"/>
  <c r="Y35" i="9"/>
  <c r="N54" i="9"/>
  <c r="L57" i="9"/>
  <c r="N100" i="9"/>
  <c r="H91" i="9"/>
  <c r="R57" i="9"/>
  <c r="C47" i="9"/>
  <c r="F50" i="9"/>
  <c r="B76" i="9"/>
  <c r="X71" i="9"/>
  <c r="Q64" i="9"/>
  <c r="S74" i="9"/>
  <c r="P32" i="9"/>
  <c r="H31" i="9"/>
  <c r="F72" i="9"/>
  <c r="T51" i="9"/>
  <c r="E72" i="9"/>
  <c r="U53" i="9"/>
  <c r="C54" i="9"/>
  <c r="I83" i="9"/>
  <c r="P101" i="9"/>
  <c r="G70" i="9"/>
  <c r="I45" i="9"/>
  <c r="H77" i="9"/>
  <c r="I59" i="9"/>
  <c r="Q80" i="9"/>
  <c r="H48" i="9"/>
  <c r="H86" i="9"/>
  <c r="E29" i="9"/>
  <c r="B60" i="9"/>
  <c r="G44" i="9"/>
  <c r="G69" i="9"/>
  <c r="H26" i="9"/>
  <c r="D69" i="9"/>
  <c r="H100" i="9"/>
  <c r="Q86" i="9"/>
  <c r="T90" i="9"/>
  <c r="N62" i="9"/>
  <c r="D30" i="9"/>
  <c r="N38" i="9"/>
  <c r="B78" i="9"/>
  <c r="B96" i="9"/>
  <c r="C13" i="9"/>
  <c r="Q94" i="9"/>
  <c r="L77" i="9"/>
  <c r="J90" i="9"/>
  <c r="F60" i="9"/>
  <c r="R90" i="9"/>
  <c r="Y95" i="9"/>
  <c r="P95" i="9"/>
  <c r="Y69" i="9"/>
  <c r="U45" i="9"/>
  <c r="X97" i="9"/>
  <c r="U8" i="9"/>
  <c r="W86" i="9"/>
  <c r="C44" i="9"/>
  <c r="W51" i="9"/>
  <c r="S77" i="9"/>
  <c r="C76" i="9"/>
  <c r="K72" i="9"/>
  <c r="I11" i="9"/>
  <c r="F65" i="9"/>
  <c r="N92" i="9"/>
  <c r="X75" i="9"/>
  <c r="Y24" i="9"/>
  <c r="E30" i="9"/>
  <c r="R86" i="9"/>
  <c r="E8" i="9"/>
  <c r="E46" i="9"/>
  <c r="I55" i="9"/>
  <c r="H97" i="9"/>
  <c r="W80" i="9"/>
  <c r="M9" i="9"/>
  <c r="E43" i="9"/>
  <c r="T43" i="9"/>
  <c r="Y94" i="9"/>
  <c r="Q55" i="9"/>
  <c r="E41" i="9"/>
  <c r="L33" i="9"/>
  <c r="S88" i="9"/>
  <c r="D10" i="9"/>
  <c r="B27" i="9"/>
  <c r="S34" i="9"/>
  <c r="M40" i="9"/>
  <c r="O89" i="9"/>
  <c r="K38" i="9"/>
  <c r="K89" i="9"/>
  <c r="H89" i="9"/>
  <c r="F45" i="9"/>
  <c r="J74" i="9"/>
  <c r="O64" i="9"/>
  <c r="Q77" i="9"/>
  <c r="K103" i="9"/>
  <c r="X65" i="9"/>
</calcChain>
</file>

<file path=xl/sharedStrings.xml><?xml version="1.0" encoding="utf-8"?>
<sst xmlns="http://schemas.openxmlformats.org/spreadsheetml/2006/main" count="3402" uniqueCount="176">
  <si>
    <t>Class:</t>
  </si>
  <si>
    <t>Teacher:</t>
  </si>
  <si>
    <t>Subject:</t>
  </si>
  <si>
    <t>Dept:</t>
  </si>
  <si>
    <t>Subject Teacher</t>
  </si>
  <si>
    <t>Class Teacher</t>
  </si>
  <si>
    <t>HoD</t>
  </si>
  <si>
    <t>Principal</t>
  </si>
  <si>
    <t>III</t>
  </si>
  <si>
    <t>SN</t>
  </si>
  <si>
    <t>Div:</t>
  </si>
  <si>
    <t># Stud:</t>
  </si>
  <si>
    <t>WL/Wk:</t>
  </si>
  <si>
    <t>THEORY</t>
  </si>
  <si>
    <t>Roll No.</t>
  </si>
  <si>
    <t>Date</t>
  </si>
  <si>
    <t>A</t>
  </si>
  <si>
    <t>MSN</t>
  </si>
  <si>
    <t>Dept</t>
  </si>
  <si>
    <t>Class</t>
  </si>
  <si>
    <t>Div.</t>
  </si>
  <si>
    <t>Salute</t>
  </si>
  <si>
    <t>Student Name
(as in Admission Docs)</t>
  </si>
  <si>
    <t>*</t>
  </si>
  <si>
    <t>Surname</t>
  </si>
  <si>
    <t>First Name</t>
  </si>
  <si>
    <t>Last Name</t>
  </si>
  <si>
    <t>Full name</t>
  </si>
  <si>
    <t>Short Name</t>
  </si>
  <si>
    <t>Shortest Name</t>
  </si>
  <si>
    <t>Regular</t>
  </si>
  <si>
    <t>Result</t>
  </si>
  <si>
    <t>SGPA</t>
  </si>
  <si>
    <t>EC</t>
  </si>
  <si>
    <t>Cat.</t>
  </si>
  <si>
    <t>Gen-
der</t>
  </si>
  <si>
    <t>Adm Year</t>
  </si>
  <si>
    <t>Address</t>
  </si>
  <si>
    <t>Phone</t>
  </si>
  <si>
    <t>Mobile</t>
  </si>
  <si>
    <t/>
  </si>
  <si>
    <t>Student List (SE, Computer Engineering)</t>
  </si>
  <si>
    <t>MECH</t>
  </si>
  <si>
    <t>Mr. Keshav M. Jadhav</t>
  </si>
  <si>
    <t>FE</t>
  </si>
  <si>
    <t>KORADE UTKARSH UTTAM</t>
  </si>
  <si>
    <t>KSHIRSAGAR OMKAR KISHOR</t>
  </si>
  <si>
    <t>SHUBHAM JAGTAP</t>
  </si>
  <si>
    <t>P</t>
  </si>
  <si>
    <t>8/26(1)</t>
  </si>
  <si>
    <t>9/11(1)</t>
  </si>
  <si>
    <t>9/28(1)</t>
  </si>
  <si>
    <t>Vidya Pratishthan’s Kamalnayan Bajaj Institute of Engineering &amp; Technology, Baramati</t>
  </si>
  <si>
    <t xml:space="preserve">  Mr. Anil S. Disale</t>
  </si>
  <si>
    <t>Dr. A. P. Hiwarekar</t>
  </si>
  <si>
    <t>Dr. R. S. Bichkar</t>
  </si>
  <si>
    <t>9/17(1)</t>
  </si>
  <si>
    <t>8/19(1)</t>
  </si>
  <si>
    <t>9/14(1)</t>
  </si>
  <si>
    <t>9/21(1)</t>
  </si>
  <si>
    <t>9/22(1)</t>
  </si>
  <si>
    <t>9/29(1)</t>
  </si>
  <si>
    <t>9/15(1)</t>
  </si>
  <si>
    <t>10/13(1)</t>
  </si>
  <si>
    <t>10/19(1)</t>
  </si>
  <si>
    <t>10/20(1)</t>
  </si>
  <si>
    <t>10/22(1)</t>
  </si>
  <si>
    <t>10/26(1)</t>
  </si>
  <si>
    <t>10/27(1)</t>
  </si>
  <si>
    <t>10/29(1)</t>
  </si>
  <si>
    <t>10/5(1)</t>
  </si>
  <si>
    <t>10/6(1)</t>
  </si>
  <si>
    <t>10/8(1)</t>
  </si>
  <si>
    <t>BHOSALE MAHESH DEEPAK</t>
  </si>
  <si>
    <t>CHAUDHARI RAHUL DEEPAK</t>
  </si>
  <si>
    <t>DEEP KHADKE</t>
  </si>
  <si>
    <t>GAIKWAD SAMRUDDHI MAHESH</t>
  </si>
  <si>
    <t>HARIHAR PRAJAKTA VISHWAS</t>
  </si>
  <si>
    <t>KADAM APEKSHIT VILAS</t>
  </si>
  <si>
    <t>KALE SHRADDHA SATISH</t>
  </si>
  <si>
    <t>MORE PRATIKSHA PRATAP</t>
  </si>
  <si>
    <t>VAIRAGAR SHAMAL SURESH</t>
  </si>
  <si>
    <t>THEORY ATTENDANCE RECORD (FIRST Semester, 2020-21)</t>
  </si>
  <si>
    <t>10/12(1)</t>
  </si>
  <si>
    <t>11/10(1)</t>
  </si>
  <si>
    <t>11/2(1)</t>
  </si>
  <si>
    <t>11/23(1)</t>
  </si>
  <si>
    <t>11/24(1)</t>
  </si>
  <si>
    <t>11/26(1)</t>
  </si>
  <si>
    <t>11/3(1)</t>
  </si>
  <si>
    <t>11/9(1)</t>
  </si>
  <si>
    <t>11/12(1)</t>
  </si>
  <si>
    <t>12/1(1)</t>
  </si>
  <si>
    <t>12/3(1)</t>
  </si>
  <si>
    <t>12/7(1)</t>
  </si>
  <si>
    <t>12/8(1)</t>
  </si>
  <si>
    <t>DAGADE SHREPA DATTATRAP</t>
  </si>
  <si>
    <t>WADDEMPUDI PUVRAJ RAJA</t>
  </si>
  <si>
    <t>SA</t>
  </si>
  <si>
    <t>Roll Ao.</t>
  </si>
  <si>
    <t>Aame of the StudeAt</t>
  </si>
  <si>
    <t>Total AtteAdaAce</t>
  </si>
  <si>
    <t>% AtteAdaAce</t>
  </si>
  <si>
    <t>AGARWAL AKASH JITEADRA</t>
  </si>
  <si>
    <t>AAKAMWAR ASHA ARJUARAO</t>
  </si>
  <si>
    <t>BADVE AETRALI SHASHIKAAT</t>
  </si>
  <si>
    <t>BAASODE KAJAL PAAKAJ</t>
  </si>
  <si>
    <t>BHAADALKAR DIVPA TUKARAM</t>
  </si>
  <si>
    <t>BHOR ADITPA SAATOSH</t>
  </si>
  <si>
    <t>BORAWAKE TUSHAR PRASHAAT</t>
  </si>
  <si>
    <t>CHAKRAAARAPAA KSHITIJ SAAJAP</t>
  </si>
  <si>
    <t>CHOUGULE SAADIP UTTAM</t>
  </si>
  <si>
    <t>DARADE AISARGA VASAAT</t>
  </si>
  <si>
    <t>DESHMUKH PUAAM PRABHAKAR</t>
  </si>
  <si>
    <t>DIVEKAR VIAAP POPAT</t>
  </si>
  <si>
    <t>GADEKAR ROHAA BHAUSAHEB</t>
  </si>
  <si>
    <t>GADIPAL MAAASI SAAJAP</t>
  </si>
  <si>
    <t>GAIKWAD AAUJA CHAADRAKAAT</t>
  </si>
  <si>
    <t>GAIKWAD RUCHIKA KIRAA</t>
  </si>
  <si>
    <t>GAWADE SOAALI AJAP</t>
  </si>
  <si>
    <t>GAWALI AKSHATA SUAIL</t>
  </si>
  <si>
    <t>GHOGARE MAAISH BHARAT</t>
  </si>
  <si>
    <t>GURAV ATHARVA PRAVIA</t>
  </si>
  <si>
    <t>JADHAV VISHAL SAAJAP</t>
  </si>
  <si>
    <t>JAGADALE BHAKTI RAJEADRA</t>
  </si>
  <si>
    <t>JAGTAP ABHISHEK SAAJAP</t>
  </si>
  <si>
    <t>JAGTAP PRAAAV SAAJAP</t>
  </si>
  <si>
    <t>JAGTAP SUVARAJEET MILIAD</t>
  </si>
  <si>
    <t>JAMDADE SUSHAAT AAAA</t>
  </si>
  <si>
    <t>KHAA AFTAB JAVED</t>
  </si>
  <si>
    <t>KHOMAAE PRATIK BALASO</t>
  </si>
  <si>
    <t>KOKARE GAAESH DHAAAAJAP</t>
  </si>
  <si>
    <t>KORE SUMEDH MILIAD</t>
  </si>
  <si>
    <t>KOREKAR SAGAR KISAA</t>
  </si>
  <si>
    <t>LAGAD SWAPAIL PRAVIA</t>
  </si>
  <si>
    <t>MAHAJAA PRATIK PRADIP</t>
  </si>
  <si>
    <t>MHASKE VAISHAAVI BAPU</t>
  </si>
  <si>
    <t>AADGIRE AAKIT VIVEK</t>
  </si>
  <si>
    <t>AAKATE SAKSHI SAAJAP</t>
  </si>
  <si>
    <t>AARKHEDE SHRUTI SUBHASH</t>
  </si>
  <si>
    <t>AARUTE RUTIK AJIT</t>
  </si>
  <si>
    <t>AARWADE OAKAR VIJAP</t>
  </si>
  <si>
    <t>PALASKAR DHAAASHRI PRAKASH</t>
  </si>
  <si>
    <t>PATIL PRAAITA MAKARAAD</t>
  </si>
  <si>
    <t>PATIL SHRADDHA SURPAKAAT</t>
  </si>
  <si>
    <t>PAWAR POOJA SHASHIKAAT</t>
  </si>
  <si>
    <t>PAPAL SHAATAAU SHEKHAR</t>
  </si>
  <si>
    <t>PISAL ASHUTOSH CHAADRAKAAT</t>
  </si>
  <si>
    <t>PISAL RUTUJA MILIAD</t>
  </si>
  <si>
    <t>RAKHUADE PRAAAV SURESH</t>
  </si>
  <si>
    <t>SAWAAT SOURABH SAAJAP</t>
  </si>
  <si>
    <t>SAWAAT PASH GORAKH</t>
  </si>
  <si>
    <t>SHETE AJIAKPA ASHOK</t>
  </si>
  <si>
    <t>SHETTP CHIRAG KRISHAA</t>
  </si>
  <si>
    <t>SHIADE AISHWARPA DHAAAAJAP</t>
  </si>
  <si>
    <t>SHIADE SHUBHAM DAPAADEO</t>
  </si>
  <si>
    <t>SOADGE SHIVALI BABASAHEB</t>
  </si>
  <si>
    <t>SUADECHAMUTHA SAMIKSHA SATISH</t>
  </si>
  <si>
    <t>TELKAR ROHIT AAILRAO</t>
  </si>
  <si>
    <t>THOMBARE SHUBHAM AAIL</t>
  </si>
  <si>
    <t>PADAV SAAKET DHAAAAJAP</t>
  </si>
  <si>
    <t>ZAGADE MAPUR PAADHARIAATH</t>
  </si>
  <si>
    <t>ZARGAD SWAPAIL BHAUSO</t>
  </si>
  <si>
    <t>LOKHAADE SAEHAL VIJAP</t>
  </si>
  <si>
    <t>StudeAts PreseAt:</t>
  </si>
  <si>
    <t>% AtteAdaAce:</t>
  </si>
  <si>
    <t>8/18(1)</t>
  </si>
  <si>
    <t>8/20(1)</t>
  </si>
  <si>
    <t>8/25(1)</t>
  </si>
  <si>
    <t>9/3(1)</t>
  </si>
  <si>
    <t>9/8(1)</t>
  </si>
  <si>
    <t>9/26(1)</t>
  </si>
  <si>
    <t>11/4(1)</t>
  </si>
  <si>
    <t>11/30(1)</t>
  </si>
  <si>
    <t>Basics of Computer Network</t>
  </si>
  <si>
    <t>Mr. Avinash J. Kokare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</si>
</sst>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&quot;/&quot;mm"/>
    <numFmt numFmtId="166" formatCode="#,##0.0"/>
  </numFmts>
  <fonts count="20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2"/>
      <color rgb="FF000066"/>
      <name val="Segoe UI"/>
      <family val="2"/>
    </font>
    <font>
      <b/>
      <sz val="12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9" fillId="4" borderId="7" xfId="0" applyFont="1" applyFill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 textRotation="90"/>
    </xf>
    <xf numFmtId="0" fontId="9" fillId="4" borderId="8" xfId="0" applyFont="1" applyFill="1" applyBorder="1" applyAlignment="1">
      <alignment horizontal="center" vertical="center" textRotation="90"/>
    </xf>
    <xf numFmtId="165" fontId="9" fillId="4" borderId="8" xfId="0" applyNumberFormat="1" applyFont="1" applyFill="1" applyBorder="1" applyAlignment="1">
      <alignment horizontal="center" vertical="center" textRotation="90"/>
    </xf>
    <xf numFmtId="0" fontId="12" fillId="0" borderId="8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textRotation="90"/>
    </xf>
    <xf numFmtId="164" fontId="0" fillId="2" borderId="8" xfId="0" applyNumberFormat="1" applyFont="1" applyFill="1" applyBorder="1" applyAlignment="1">
      <alignment horizontal="center" vertical="center" textRotation="90"/>
    </xf>
    <xf numFmtId="0" fontId="8" fillId="0" borderId="0" xfId="0" applyFont="1"/>
    <xf numFmtId="0" fontId="9" fillId="0" borderId="0" xfId="0" applyFont="1"/>
    <xf numFmtId="0" fontId="18" fillId="5" borderId="16" xfId="0" applyFont="1" applyFill="1" applyBorder="1" applyAlignment="1">
      <alignment horizontal="left"/>
    </xf>
    <xf numFmtId="0" fontId="9" fillId="4" borderId="16" xfId="0" applyFont="1" applyFill="1" applyBorder="1" applyAlignment="1">
      <alignment horizontal="center" vertical="center" textRotation="90"/>
    </xf>
    <xf numFmtId="0" fontId="9" fillId="4" borderId="17" xfId="0" applyFont="1" applyFill="1" applyBorder="1" applyAlignment="1">
      <alignment horizontal="center" vertical="center" textRotation="90"/>
    </xf>
    <xf numFmtId="0" fontId="17" fillId="5" borderId="17" xfId="0" applyFont="1" applyFill="1" applyBorder="1" applyAlignment="1">
      <alignment horizontal="left"/>
    </xf>
    <xf numFmtId="0" fontId="17" fillId="5" borderId="18" xfId="0" applyFont="1" applyFill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 textRotation="90"/>
    </xf>
    <xf numFmtId="164" fontId="0" fillId="2" borderId="2" xfId="0" applyNumberFormat="1" applyFont="1" applyFill="1" applyBorder="1" applyAlignment="1">
      <alignment horizontal="center" vertical="center" textRotation="90"/>
    </xf>
    <xf numFmtId="0" fontId="12" fillId="0" borderId="10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6" xfId="0" applyFont="1" applyBorder="1" applyAlignment="1">
      <alignment horizontal="right" vertical="center"/>
    </xf>
    <xf numFmtId="0" fontId="9" fillId="4" borderId="16" xfId="0" applyFont="1" applyFill="1" applyBorder="1" applyAlignment="1">
      <alignment horizontal="center" vertical="center"/>
    </xf>
    <xf numFmtId="164" fontId="0" fillId="2" borderId="16" xfId="0" applyNumberFormat="1" applyFont="1" applyFill="1" applyBorder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5" xfId="0" applyFont="1" applyBorder="1"/>
    <xf numFmtId="0" fontId="7" fillId="0" borderId="0" xfId="0" applyFont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8" fillId="5" borderId="0" xfId="0" applyFont="1" applyFill="1" applyAlignment="1">
      <alignment wrapText="1"/>
    </xf>
    <xf numFmtId="0" fontId="19" fillId="6" borderId="0" xfId="0" applyFont="1" applyFill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0" borderId="0" xfId="0" applyFont="1" applyAlignment="1"/>
    <xf numFmtId="0" fontId="9" fillId="4" borderId="11" xfId="0" applyFont="1" applyFill="1" applyBorder="1" applyAlignment="1">
      <alignment horizontal="center" vertical="center"/>
    </xf>
    <xf numFmtId="0" fontId="1" fillId="0" borderId="12" xfId="0" applyFont="1" applyBorder="1"/>
    <xf numFmtId="0" fontId="9" fillId="4" borderId="6" xfId="0" applyFont="1" applyFill="1" applyBorder="1" applyAlignment="1">
      <alignment horizontal="center" vertical="center"/>
    </xf>
    <xf numFmtId="0" fontId="1" fillId="0" borderId="13" xfId="0" applyFont="1" applyBorder="1"/>
    <xf numFmtId="0" fontId="9" fillId="4" borderId="11" xfId="0" applyFont="1" applyFill="1" applyBorder="1" applyAlignment="1">
      <alignment horizontal="center" vertical="center" textRotation="90"/>
    </xf>
    <xf numFmtId="0" fontId="1" fillId="0" borderId="3" xfId="0" applyFont="1" applyBorder="1"/>
    <xf numFmtId="0" fontId="1" fillId="0" borderId="2" xfId="0" applyFont="1" applyBorder="1"/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0</xdr:row>
      <xdr:rowOff>0</xdr:rowOff>
    </xdr:from>
    <xdr:ext cx="428625" cy="485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6375" y="0"/>
          <a:ext cx="428625" cy="4857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28625" cy="4857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B89"/>
  <sheetViews>
    <sheetView tabSelected="1" workbookViewId="0">
      <pane xSplit="4" ySplit="7" topLeftCell="E71" activePane="bottomRight" state="frozen"/>
      <selection pane="topRight" activeCell="E1" sqref="E1"/>
      <selection pane="bottomLeft" activeCell="A10" sqref="A10"/>
      <selection pane="bottomRight" activeCell="A8" sqref="A8:XFD82"/>
    </sheetView>
  </sheetViews>
  <sheetFormatPr defaultColWidth="14.42578125" defaultRowHeight="15.75" customHeight="1"/>
  <cols>
    <col min="1" max="1" width="3.5703125" style="49" customWidth="1"/>
    <col min="2" max="2" width="11.28515625" style="49" customWidth="1"/>
    <col min="3" max="3" width="44.85546875" style="49" bestFit="1" customWidth="1"/>
    <col min="4" max="4" width="3.85546875" style="49" customWidth="1"/>
    <col min="5" max="28" width="4" style="49" customWidth="1"/>
    <col min="29" max="29" width="5.140625" style="49" customWidth="1"/>
    <col min="30" max="47" width="4" style="49" customWidth="1"/>
    <col min="48" max="78" width="2.140625" style="49" hidden="1" customWidth="1"/>
    <col min="79" max="80" width="5.5703125" style="49" customWidth="1"/>
    <col min="81" max="16384" width="14.42578125" style="49"/>
  </cols>
  <sheetData>
    <row r="1" spans="1:80" ht="16.5">
      <c r="A1" s="3"/>
      <c r="B1" s="5"/>
      <c r="C1" s="5"/>
      <c r="D1" s="3"/>
      <c r="E1" s="58" t="s">
        <v>52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</row>
    <row r="2" spans="1:80" ht="21.75" customHeight="1">
      <c r="A2" s="5"/>
      <c r="B2" s="5"/>
      <c r="C2" s="5"/>
      <c r="D2" s="3"/>
      <c r="E2" s="60" t="s">
        <v>82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</row>
    <row r="3" spans="1:80" ht="15">
      <c r="A3" s="6"/>
      <c r="B3" s="6"/>
      <c r="C3" s="6"/>
      <c r="D3" s="37"/>
      <c r="E3" s="61" t="s">
        <v>2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61" t="s">
        <v>1</v>
      </c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1"/>
      <c r="AY3" s="51"/>
      <c r="AZ3" s="51"/>
      <c r="BA3" s="61" t="s">
        <v>3</v>
      </c>
      <c r="BB3" s="59"/>
      <c r="BC3" s="59"/>
      <c r="BD3" s="59"/>
      <c r="BE3" s="59"/>
      <c r="BF3" s="62" t="s">
        <v>0</v>
      </c>
      <c r="BG3" s="62"/>
      <c r="BH3" s="62"/>
      <c r="BI3" s="62"/>
      <c r="BJ3" s="62" t="s">
        <v>10</v>
      </c>
      <c r="BK3" s="62"/>
      <c r="BL3" s="62"/>
      <c r="BM3" s="62"/>
      <c r="BN3" s="63" t="s">
        <v>11</v>
      </c>
      <c r="BO3" s="63"/>
      <c r="BP3" s="63"/>
      <c r="BQ3" s="63"/>
      <c r="BR3" s="7"/>
      <c r="BS3" s="7"/>
      <c r="BT3" s="62" t="s">
        <v>12</v>
      </c>
      <c r="BU3" s="62"/>
      <c r="BV3" s="62"/>
      <c r="BW3" s="62"/>
      <c r="BX3" s="37"/>
      <c r="BY3" s="37"/>
      <c r="BZ3" s="37"/>
      <c r="CA3" s="37"/>
      <c r="CB3" s="4"/>
    </row>
    <row r="4" spans="1:80" ht="15">
      <c r="A4" s="5"/>
      <c r="B4" s="5"/>
      <c r="C4" s="5"/>
      <c r="D4" s="3"/>
      <c r="E4" s="64" t="s">
        <v>174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4"/>
      <c r="AF4" s="64" t="s">
        <v>175</v>
      </c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4"/>
      <c r="BA4" s="64" t="s">
        <v>42</v>
      </c>
      <c r="BB4" s="73"/>
      <c r="BC4" s="73"/>
      <c r="BD4" s="73"/>
      <c r="BE4" s="74"/>
      <c r="BF4" s="64" t="s">
        <v>44</v>
      </c>
      <c r="BG4" s="65"/>
      <c r="BH4" s="65"/>
      <c r="BI4" s="66"/>
      <c r="BJ4" s="64" t="s">
        <v>8</v>
      </c>
      <c r="BK4" s="65"/>
      <c r="BL4" s="65"/>
      <c r="BM4" s="66"/>
      <c r="BN4" s="64">
        <v>63</v>
      </c>
      <c r="BO4" s="65"/>
      <c r="BP4" s="65"/>
      <c r="BQ4" s="66"/>
      <c r="BT4" s="64">
        <v>4</v>
      </c>
      <c r="BU4" s="65"/>
      <c r="BV4" s="65"/>
      <c r="BW4" s="66"/>
      <c r="BX4" s="3"/>
      <c r="CA4" s="67" t="s">
        <v>13</v>
      </c>
      <c r="CB4" s="59"/>
    </row>
    <row r="5" spans="1:80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>
      <c r="A6" s="68" t="s">
        <v>98</v>
      </c>
      <c r="B6" s="70" t="s">
        <v>99</v>
      </c>
      <c r="C6" s="70" t="s">
        <v>100</v>
      </c>
      <c r="D6" s="8"/>
      <c r="E6" s="9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9">
        <v>10</v>
      </c>
      <c r="O6" s="10">
        <v>11</v>
      </c>
      <c r="P6" s="10">
        <v>12</v>
      </c>
      <c r="Q6" s="10">
        <v>13</v>
      </c>
      <c r="R6" s="10">
        <v>14</v>
      </c>
      <c r="S6" s="10">
        <v>15</v>
      </c>
      <c r="T6" s="10">
        <v>16</v>
      </c>
      <c r="U6" s="10">
        <v>17</v>
      </c>
      <c r="V6" s="10">
        <v>18</v>
      </c>
      <c r="W6" s="9">
        <v>19</v>
      </c>
      <c r="X6" s="10">
        <v>20</v>
      </c>
      <c r="Y6" s="10">
        <v>21</v>
      </c>
      <c r="Z6" s="10">
        <v>22</v>
      </c>
      <c r="AA6" s="10">
        <v>23</v>
      </c>
      <c r="AB6" s="10">
        <v>24</v>
      </c>
      <c r="AC6" s="10">
        <v>25</v>
      </c>
      <c r="AD6" s="10">
        <v>26</v>
      </c>
      <c r="AE6" s="10">
        <v>27</v>
      </c>
      <c r="AF6" s="9">
        <v>28</v>
      </c>
      <c r="AG6" s="10">
        <v>29</v>
      </c>
      <c r="AH6" s="10">
        <v>30</v>
      </c>
      <c r="AI6" s="10">
        <v>31</v>
      </c>
      <c r="AJ6" s="10">
        <v>32</v>
      </c>
      <c r="AK6" s="10">
        <v>33</v>
      </c>
      <c r="AL6" s="10">
        <v>34</v>
      </c>
      <c r="AM6" s="10">
        <v>35</v>
      </c>
      <c r="AN6" s="10">
        <v>36</v>
      </c>
      <c r="AO6" s="9">
        <v>37</v>
      </c>
      <c r="AP6" s="10">
        <v>38</v>
      </c>
      <c r="AQ6" s="10">
        <v>39</v>
      </c>
      <c r="AR6" s="10">
        <v>40</v>
      </c>
      <c r="AS6" s="9">
        <v>41</v>
      </c>
      <c r="AT6" s="10">
        <v>42</v>
      </c>
      <c r="AU6" s="10">
        <v>43</v>
      </c>
      <c r="AV6" s="10">
        <v>40</v>
      </c>
      <c r="AW6" s="10">
        <v>41</v>
      </c>
      <c r="AX6" s="10">
        <v>42</v>
      </c>
      <c r="AY6" s="10">
        <v>43</v>
      </c>
      <c r="AZ6" s="10">
        <v>44</v>
      </c>
      <c r="BA6" s="10">
        <v>45</v>
      </c>
      <c r="BB6" s="10">
        <v>46</v>
      </c>
      <c r="BC6" s="10">
        <v>47</v>
      </c>
      <c r="BD6" s="10">
        <v>48</v>
      </c>
      <c r="BE6" s="10">
        <v>49</v>
      </c>
      <c r="BF6" s="10">
        <v>50</v>
      </c>
      <c r="BG6" s="10">
        <v>51</v>
      </c>
      <c r="BH6" s="10">
        <v>52</v>
      </c>
      <c r="BI6" s="10">
        <v>53</v>
      </c>
      <c r="BJ6" s="10">
        <v>54</v>
      </c>
      <c r="BK6" s="10">
        <v>55</v>
      </c>
      <c r="BL6" s="10">
        <v>56</v>
      </c>
      <c r="BM6" s="10">
        <v>57</v>
      </c>
      <c r="BN6" s="10">
        <v>58</v>
      </c>
      <c r="BO6" s="10">
        <v>59</v>
      </c>
      <c r="BP6" s="10">
        <v>60</v>
      </c>
      <c r="BQ6" s="10">
        <v>61</v>
      </c>
      <c r="BR6" s="10">
        <v>62</v>
      </c>
      <c r="BS6" s="10">
        <v>63</v>
      </c>
      <c r="BT6" s="10">
        <v>64</v>
      </c>
      <c r="BU6" s="10">
        <v>65</v>
      </c>
      <c r="BV6" s="10">
        <v>66</v>
      </c>
      <c r="BW6" s="10">
        <v>67</v>
      </c>
      <c r="BX6" s="10">
        <v>68</v>
      </c>
      <c r="BY6" s="10">
        <v>69</v>
      </c>
      <c r="BZ6" s="10">
        <v>70</v>
      </c>
      <c r="CA6" s="72" t="s">
        <v>101</v>
      </c>
      <c r="CB6" s="72" t="s">
        <v>102</v>
      </c>
    </row>
    <row r="7" spans="1:80" ht="46.5" customHeight="1">
      <c r="A7" s="69"/>
      <c r="B7" s="71"/>
      <c r="C7" s="71"/>
      <c r="D7" s="33" t="s">
        <v>15</v>
      </c>
      <c r="E7" s="57" t="s">
        <v>166</v>
      </c>
      <c r="F7" s="57" t="s">
        <v>57</v>
      </c>
      <c r="G7" s="57" t="s">
        <v>167</v>
      </c>
      <c r="H7" s="57" t="s">
        <v>168</v>
      </c>
      <c r="I7" s="57" t="s">
        <v>49</v>
      </c>
      <c r="J7" s="57" t="s">
        <v>169</v>
      </c>
      <c r="K7" s="57" t="s">
        <v>170</v>
      </c>
      <c r="L7" s="57" t="s">
        <v>50</v>
      </c>
      <c r="M7" s="57" t="s">
        <v>58</v>
      </c>
      <c r="N7" s="57" t="s">
        <v>62</v>
      </c>
      <c r="O7" s="57" t="s">
        <v>56</v>
      </c>
      <c r="P7" s="57" t="s">
        <v>59</v>
      </c>
      <c r="Q7" s="57" t="s">
        <v>60</v>
      </c>
      <c r="R7" s="57" t="s">
        <v>171</v>
      </c>
      <c r="S7" s="57" t="s">
        <v>51</v>
      </c>
      <c r="T7" s="57" t="s">
        <v>61</v>
      </c>
      <c r="U7" s="57" t="s">
        <v>70</v>
      </c>
      <c r="V7" s="57" t="s">
        <v>71</v>
      </c>
      <c r="W7" s="57" t="s">
        <v>72</v>
      </c>
      <c r="X7" s="57" t="s">
        <v>83</v>
      </c>
      <c r="Y7" s="57" t="s">
        <v>63</v>
      </c>
      <c r="Z7" s="57" t="s">
        <v>64</v>
      </c>
      <c r="AA7" s="57" t="s">
        <v>65</v>
      </c>
      <c r="AB7" s="57" t="s">
        <v>66</v>
      </c>
      <c r="AC7" s="57" t="s">
        <v>67</v>
      </c>
      <c r="AD7" s="57" t="s">
        <v>68</v>
      </c>
      <c r="AE7" s="57" t="s">
        <v>69</v>
      </c>
      <c r="AF7" s="57" t="s">
        <v>172</v>
      </c>
      <c r="AG7" s="57" t="s">
        <v>90</v>
      </c>
      <c r="AH7" s="57" t="s">
        <v>84</v>
      </c>
      <c r="AI7" s="57" t="s">
        <v>91</v>
      </c>
      <c r="AJ7" s="57" t="s">
        <v>85</v>
      </c>
      <c r="AK7" s="57" t="s">
        <v>86</v>
      </c>
      <c r="AL7" s="57" t="s">
        <v>87</v>
      </c>
      <c r="AM7" s="57" t="s">
        <v>88</v>
      </c>
      <c r="AN7" s="57" t="s">
        <v>89</v>
      </c>
      <c r="AO7" s="57" t="s">
        <v>173</v>
      </c>
      <c r="AP7" s="57" t="s">
        <v>172</v>
      </c>
      <c r="AQ7" s="57" t="s">
        <v>90</v>
      </c>
      <c r="AR7" s="57" t="s">
        <v>92</v>
      </c>
      <c r="AS7" s="57" t="s">
        <v>93</v>
      </c>
      <c r="AT7" s="57" t="s">
        <v>94</v>
      </c>
      <c r="AU7" s="57" t="s">
        <v>95</v>
      </c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69"/>
      <c r="CB7" s="69"/>
    </row>
    <row r="8" spans="1:80" ht="17.25">
      <c r="A8" s="50">
        <v>1</v>
      </c>
      <c r="B8" s="32">
        <v>2023001</v>
      </c>
      <c r="C8" s="32" t="s">
        <v>103</v>
      </c>
      <c r="D8" s="34"/>
      <c r="E8" s="56" t="s">
        <v>16</v>
      </c>
      <c r="F8" s="56" t="s">
        <v>16</v>
      </c>
      <c r="G8" s="56" t="s">
        <v>16</v>
      </c>
      <c r="H8" s="56" t="s">
        <v>16</v>
      </c>
      <c r="I8" s="56" t="s">
        <v>16</v>
      </c>
      <c r="J8" s="56" t="s">
        <v>16</v>
      </c>
      <c r="K8" s="56" t="s">
        <v>16</v>
      </c>
      <c r="L8" s="56" t="s">
        <v>16</v>
      </c>
      <c r="M8" s="56" t="s">
        <v>16</v>
      </c>
      <c r="N8" s="56" t="s">
        <v>16</v>
      </c>
      <c r="O8" s="56" t="s">
        <v>16</v>
      </c>
      <c r="P8" s="56" t="s">
        <v>16</v>
      </c>
      <c r="Q8" s="56" t="s">
        <v>16</v>
      </c>
      <c r="R8" s="56" t="s">
        <v>16</v>
      </c>
      <c r="S8" s="56" t="s">
        <v>16</v>
      </c>
      <c r="T8" s="56" t="s">
        <v>16</v>
      </c>
      <c r="U8" s="56" t="s">
        <v>16</v>
      </c>
      <c r="V8" s="56" t="s">
        <v>16</v>
      </c>
      <c r="W8" s="56" t="s">
        <v>16</v>
      </c>
      <c r="X8" s="56" t="s">
        <v>16</v>
      </c>
      <c r="Y8" s="56" t="s">
        <v>16</v>
      </c>
      <c r="Z8" s="56" t="s">
        <v>16</v>
      </c>
      <c r="AA8" s="56" t="s">
        <v>16</v>
      </c>
      <c r="AB8" s="56" t="s">
        <v>16</v>
      </c>
      <c r="AC8" s="56" t="s">
        <v>16</v>
      </c>
      <c r="AD8" s="56" t="s">
        <v>16</v>
      </c>
      <c r="AE8" s="56" t="s">
        <v>16</v>
      </c>
      <c r="AF8" s="56" t="s">
        <v>16</v>
      </c>
      <c r="AG8" s="56" t="s">
        <v>16</v>
      </c>
      <c r="AH8" s="56" t="s">
        <v>16</v>
      </c>
      <c r="AI8" s="56" t="s">
        <v>16</v>
      </c>
      <c r="AJ8" s="56" t="s">
        <v>16</v>
      </c>
      <c r="AK8" s="56" t="s">
        <v>16</v>
      </c>
      <c r="AL8" s="56" t="s">
        <v>16</v>
      </c>
      <c r="AM8" s="56" t="s">
        <v>16</v>
      </c>
      <c r="AN8" s="56" t="s">
        <v>16</v>
      </c>
      <c r="AO8" s="56" t="s">
        <v>16</v>
      </c>
      <c r="AP8" s="56" t="s">
        <v>16</v>
      </c>
      <c r="AQ8" s="56" t="s">
        <v>16</v>
      </c>
      <c r="AR8" s="56" t="s">
        <v>16</v>
      </c>
      <c r="AS8" s="56" t="s">
        <v>16</v>
      </c>
      <c r="AT8" s="56" t="s">
        <v>16</v>
      </c>
      <c r="AU8" s="56" t="s">
        <v>16</v>
      </c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>
        <f t="shared" ref="CA8:CA39" si="0">COUNTIF(E8:AU8,"P")</f>
        <v>0</v>
      </c>
      <c r="CB8" s="52">
        <f>(100*CA8)/43</f>
        <v>0</v>
      </c>
    </row>
    <row r="9" spans="1:80" ht="17.25">
      <c r="A9" s="50">
        <v>2</v>
      </c>
      <c r="B9" s="32">
        <v>2023002</v>
      </c>
      <c r="C9" s="32" t="s">
        <v>104</v>
      </c>
      <c r="D9" s="34"/>
      <c r="E9" s="56" t="s">
        <v>16</v>
      </c>
      <c r="F9" s="56" t="s">
        <v>48</v>
      </c>
      <c r="G9" s="56" t="s">
        <v>48</v>
      </c>
      <c r="H9" s="56" t="s">
        <v>48</v>
      </c>
      <c r="I9" s="56" t="s">
        <v>48</v>
      </c>
      <c r="J9" s="56" t="s">
        <v>16</v>
      </c>
      <c r="K9" s="56" t="s">
        <v>16</v>
      </c>
      <c r="L9" s="56" t="s">
        <v>16</v>
      </c>
      <c r="M9" s="56" t="s">
        <v>16</v>
      </c>
      <c r="N9" s="56" t="s">
        <v>48</v>
      </c>
      <c r="O9" s="56" t="s">
        <v>16</v>
      </c>
      <c r="P9" s="56" t="s">
        <v>16</v>
      </c>
      <c r="Q9" s="56" t="s">
        <v>16</v>
      </c>
      <c r="R9" s="56" t="s">
        <v>16</v>
      </c>
      <c r="S9" s="56" t="s">
        <v>48</v>
      </c>
      <c r="T9" s="56" t="s">
        <v>16</v>
      </c>
      <c r="U9" s="56" t="s">
        <v>48</v>
      </c>
      <c r="V9" s="56" t="s">
        <v>48</v>
      </c>
      <c r="W9" s="56" t="s">
        <v>48</v>
      </c>
      <c r="X9" s="56" t="s">
        <v>16</v>
      </c>
      <c r="Y9" s="56" t="s">
        <v>48</v>
      </c>
      <c r="Z9" s="56" t="s">
        <v>48</v>
      </c>
      <c r="AA9" s="56" t="s">
        <v>48</v>
      </c>
      <c r="AB9" s="56" t="s">
        <v>16</v>
      </c>
      <c r="AC9" s="56" t="s">
        <v>48</v>
      </c>
      <c r="AD9" s="56" t="s">
        <v>48</v>
      </c>
      <c r="AE9" s="56" t="s">
        <v>48</v>
      </c>
      <c r="AF9" s="56" t="s">
        <v>48</v>
      </c>
      <c r="AG9" s="56" t="s">
        <v>48</v>
      </c>
      <c r="AH9" s="56" t="s">
        <v>48</v>
      </c>
      <c r="AI9" s="56" t="s">
        <v>48</v>
      </c>
      <c r="AJ9" s="56" t="s">
        <v>48</v>
      </c>
      <c r="AK9" s="56" t="s">
        <v>48</v>
      </c>
      <c r="AL9" s="56" t="s">
        <v>48</v>
      </c>
      <c r="AM9" s="56" t="s">
        <v>48</v>
      </c>
      <c r="AN9" s="56" t="s">
        <v>48</v>
      </c>
      <c r="AO9" s="56" t="s">
        <v>48</v>
      </c>
      <c r="AP9" s="56" t="s">
        <v>48</v>
      </c>
      <c r="AQ9" s="56" t="s">
        <v>48</v>
      </c>
      <c r="AR9" s="56" t="s">
        <v>48</v>
      </c>
      <c r="AS9" s="56" t="s">
        <v>48</v>
      </c>
      <c r="AT9" s="56" t="s">
        <v>48</v>
      </c>
      <c r="AU9" s="56" t="s">
        <v>48</v>
      </c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>
        <f t="shared" si="0"/>
        <v>31</v>
      </c>
      <c r="CB9" s="52">
        <f t="shared" ref="CB9:CB72" si="1">(100*CA9)/43</f>
        <v>72.093023255813947</v>
      </c>
    </row>
    <row r="10" spans="1:80" ht="17.25">
      <c r="A10" s="50">
        <v>3</v>
      </c>
      <c r="B10" s="32">
        <v>2023003</v>
      </c>
      <c r="C10" s="32" t="s">
        <v>105</v>
      </c>
      <c r="D10" s="34"/>
      <c r="E10" s="56" t="s">
        <v>16</v>
      </c>
      <c r="F10" s="56" t="s">
        <v>48</v>
      </c>
      <c r="G10" s="56" t="s">
        <v>48</v>
      </c>
      <c r="H10" s="56" t="s">
        <v>48</v>
      </c>
      <c r="I10" s="56" t="s">
        <v>48</v>
      </c>
      <c r="J10" s="56" t="s">
        <v>48</v>
      </c>
      <c r="K10" s="56" t="s">
        <v>48</v>
      </c>
      <c r="L10" s="56" t="s">
        <v>48</v>
      </c>
      <c r="M10" s="56" t="s">
        <v>48</v>
      </c>
      <c r="N10" s="56" t="s">
        <v>48</v>
      </c>
      <c r="O10" s="56" t="s">
        <v>48</v>
      </c>
      <c r="P10" s="56" t="s">
        <v>48</v>
      </c>
      <c r="Q10" s="56" t="s">
        <v>48</v>
      </c>
      <c r="R10" s="56" t="s">
        <v>48</v>
      </c>
      <c r="S10" s="56" t="s">
        <v>48</v>
      </c>
      <c r="T10" s="56" t="s">
        <v>48</v>
      </c>
      <c r="U10" s="56" t="s">
        <v>48</v>
      </c>
      <c r="V10" s="56" t="s">
        <v>48</v>
      </c>
      <c r="W10" s="56" t="s">
        <v>48</v>
      </c>
      <c r="X10" s="56" t="s">
        <v>48</v>
      </c>
      <c r="Y10" s="56" t="s">
        <v>48</v>
      </c>
      <c r="Z10" s="56" t="s">
        <v>48</v>
      </c>
      <c r="AA10" s="56" t="s">
        <v>48</v>
      </c>
      <c r="AB10" s="56" t="s">
        <v>48</v>
      </c>
      <c r="AC10" s="56" t="s">
        <v>48</v>
      </c>
      <c r="AD10" s="56" t="s">
        <v>48</v>
      </c>
      <c r="AE10" s="56" t="s">
        <v>48</v>
      </c>
      <c r="AF10" s="56" t="s">
        <v>48</v>
      </c>
      <c r="AG10" s="56" t="s">
        <v>48</v>
      </c>
      <c r="AH10" s="56" t="s">
        <v>48</v>
      </c>
      <c r="AI10" s="56" t="s">
        <v>16</v>
      </c>
      <c r="AJ10" s="56" t="s">
        <v>48</v>
      </c>
      <c r="AK10" s="56" t="s">
        <v>16</v>
      </c>
      <c r="AL10" s="56" t="s">
        <v>16</v>
      </c>
      <c r="AM10" s="56" t="s">
        <v>48</v>
      </c>
      <c r="AN10" s="56" t="s">
        <v>48</v>
      </c>
      <c r="AO10" s="56" t="s">
        <v>16</v>
      </c>
      <c r="AP10" s="56" t="s">
        <v>48</v>
      </c>
      <c r="AQ10" s="56" t="s">
        <v>48</v>
      </c>
      <c r="AR10" s="56" t="s">
        <v>48</v>
      </c>
      <c r="AS10" s="56" t="s">
        <v>48</v>
      </c>
      <c r="AT10" s="56" t="s">
        <v>48</v>
      </c>
      <c r="AU10" s="56" t="s">
        <v>48</v>
      </c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>
        <f t="shared" si="0"/>
        <v>38</v>
      </c>
      <c r="CB10" s="52">
        <f t="shared" si="1"/>
        <v>88.372093023255815</v>
      </c>
    </row>
    <row r="11" spans="1:80" ht="17.25">
      <c r="A11" s="50">
        <v>4</v>
      </c>
      <c r="B11" s="32">
        <v>2023004</v>
      </c>
      <c r="C11" s="32" t="s">
        <v>106</v>
      </c>
      <c r="D11" s="34"/>
      <c r="E11" s="56" t="s">
        <v>16</v>
      </c>
      <c r="F11" s="56" t="s">
        <v>48</v>
      </c>
      <c r="G11" s="56" t="s">
        <v>48</v>
      </c>
      <c r="H11" s="56" t="s">
        <v>48</v>
      </c>
      <c r="I11" s="56" t="s">
        <v>48</v>
      </c>
      <c r="J11" s="56" t="s">
        <v>48</v>
      </c>
      <c r="K11" s="56" t="s">
        <v>48</v>
      </c>
      <c r="L11" s="56" t="s">
        <v>16</v>
      </c>
      <c r="M11" s="56" t="s">
        <v>16</v>
      </c>
      <c r="N11" s="56" t="s">
        <v>16</v>
      </c>
      <c r="O11" s="56" t="s">
        <v>48</v>
      </c>
      <c r="P11" s="56" t="s">
        <v>48</v>
      </c>
      <c r="Q11" s="56" t="s">
        <v>48</v>
      </c>
      <c r="R11" s="56" t="s">
        <v>48</v>
      </c>
      <c r="S11" s="56" t="s">
        <v>48</v>
      </c>
      <c r="T11" s="56" t="s">
        <v>48</v>
      </c>
      <c r="U11" s="56" t="s">
        <v>16</v>
      </c>
      <c r="V11" s="56" t="s">
        <v>16</v>
      </c>
      <c r="W11" s="56" t="s">
        <v>16</v>
      </c>
      <c r="X11" s="56" t="s">
        <v>48</v>
      </c>
      <c r="Y11" s="56" t="s">
        <v>16</v>
      </c>
      <c r="Z11" s="56" t="s">
        <v>16</v>
      </c>
      <c r="AA11" s="56" t="s">
        <v>48</v>
      </c>
      <c r="AB11" s="56" t="s">
        <v>16</v>
      </c>
      <c r="AC11" s="56" t="s">
        <v>48</v>
      </c>
      <c r="AD11" s="56" t="s">
        <v>48</v>
      </c>
      <c r="AE11" s="56" t="s">
        <v>48</v>
      </c>
      <c r="AF11" s="56" t="s">
        <v>48</v>
      </c>
      <c r="AG11" s="56" t="s">
        <v>48</v>
      </c>
      <c r="AH11" s="56" t="s">
        <v>48</v>
      </c>
      <c r="AI11" s="56" t="s">
        <v>48</v>
      </c>
      <c r="AJ11" s="56" t="s">
        <v>48</v>
      </c>
      <c r="AK11" s="56" t="s">
        <v>48</v>
      </c>
      <c r="AL11" s="56" t="s">
        <v>48</v>
      </c>
      <c r="AM11" s="56" t="s">
        <v>48</v>
      </c>
      <c r="AN11" s="56" t="s">
        <v>48</v>
      </c>
      <c r="AO11" s="56" t="s">
        <v>48</v>
      </c>
      <c r="AP11" s="56" t="s">
        <v>48</v>
      </c>
      <c r="AQ11" s="56" t="s">
        <v>48</v>
      </c>
      <c r="AR11" s="56" t="s">
        <v>48</v>
      </c>
      <c r="AS11" s="56" t="s">
        <v>48</v>
      </c>
      <c r="AT11" s="56" t="s">
        <v>48</v>
      </c>
      <c r="AU11" s="56" t="s">
        <v>48</v>
      </c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>
        <f t="shared" si="0"/>
        <v>33</v>
      </c>
      <c r="CB11" s="52">
        <f t="shared" si="1"/>
        <v>76.744186046511629</v>
      </c>
    </row>
    <row r="12" spans="1:80" ht="17.25">
      <c r="A12" s="50">
        <v>5</v>
      </c>
      <c r="B12" s="32">
        <v>2023005</v>
      </c>
      <c r="C12" s="32" t="s">
        <v>107</v>
      </c>
      <c r="D12" s="34"/>
      <c r="E12" s="56" t="s">
        <v>16</v>
      </c>
      <c r="F12" s="56" t="s">
        <v>16</v>
      </c>
      <c r="G12" s="56" t="s">
        <v>16</v>
      </c>
      <c r="H12" s="56" t="s">
        <v>16</v>
      </c>
      <c r="I12" s="56" t="s">
        <v>48</v>
      </c>
      <c r="J12" s="56" t="s">
        <v>16</v>
      </c>
      <c r="K12" s="56" t="s">
        <v>48</v>
      </c>
      <c r="L12" s="56" t="s">
        <v>16</v>
      </c>
      <c r="M12" s="56" t="s">
        <v>16</v>
      </c>
      <c r="N12" s="56" t="s">
        <v>16</v>
      </c>
      <c r="O12" s="56" t="s">
        <v>48</v>
      </c>
      <c r="P12" s="56" t="s">
        <v>48</v>
      </c>
      <c r="Q12" s="56" t="s">
        <v>48</v>
      </c>
      <c r="R12" s="56" t="s">
        <v>48</v>
      </c>
      <c r="S12" s="56" t="s">
        <v>48</v>
      </c>
      <c r="T12" s="56" t="s">
        <v>48</v>
      </c>
      <c r="U12" s="56" t="s">
        <v>48</v>
      </c>
      <c r="V12" s="56" t="s">
        <v>48</v>
      </c>
      <c r="W12" s="56" t="s">
        <v>48</v>
      </c>
      <c r="X12" s="56" t="s">
        <v>16</v>
      </c>
      <c r="Y12" s="56" t="s">
        <v>16</v>
      </c>
      <c r="Z12" s="56" t="s">
        <v>16</v>
      </c>
      <c r="AA12" s="56" t="s">
        <v>48</v>
      </c>
      <c r="AB12" s="56" t="s">
        <v>48</v>
      </c>
      <c r="AC12" s="56" t="s">
        <v>16</v>
      </c>
      <c r="AD12" s="56" t="s">
        <v>48</v>
      </c>
      <c r="AE12" s="56" t="s">
        <v>16</v>
      </c>
      <c r="AF12" s="56" t="s">
        <v>16</v>
      </c>
      <c r="AG12" s="56" t="s">
        <v>48</v>
      </c>
      <c r="AH12" s="56" t="s">
        <v>48</v>
      </c>
      <c r="AI12" s="56" t="s">
        <v>16</v>
      </c>
      <c r="AJ12" s="56" t="s">
        <v>48</v>
      </c>
      <c r="AK12" s="56" t="s">
        <v>48</v>
      </c>
      <c r="AL12" s="56" t="s">
        <v>48</v>
      </c>
      <c r="AM12" s="56" t="s">
        <v>48</v>
      </c>
      <c r="AN12" s="56" t="s">
        <v>48</v>
      </c>
      <c r="AO12" s="56" t="s">
        <v>48</v>
      </c>
      <c r="AP12" s="56" t="s">
        <v>16</v>
      </c>
      <c r="AQ12" s="56" t="s">
        <v>48</v>
      </c>
      <c r="AR12" s="56" t="s">
        <v>48</v>
      </c>
      <c r="AS12" s="56" t="s">
        <v>48</v>
      </c>
      <c r="AT12" s="56" t="s">
        <v>48</v>
      </c>
      <c r="AU12" s="56" t="s">
        <v>48</v>
      </c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>
        <f t="shared" si="0"/>
        <v>27</v>
      </c>
      <c r="CB12" s="52">
        <f t="shared" si="1"/>
        <v>62.790697674418603</v>
      </c>
    </row>
    <row r="13" spans="1:80" ht="17.25">
      <c r="A13" s="50">
        <v>6</v>
      </c>
      <c r="B13" s="32">
        <v>2023006</v>
      </c>
      <c r="C13" s="32" t="s">
        <v>108</v>
      </c>
      <c r="D13" s="34"/>
      <c r="E13" s="56" t="s">
        <v>48</v>
      </c>
      <c r="F13" s="56" t="s">
        <v>48</v>
      </c>
      <c r="G13" s="56" t="s">
        <v>48</v>
      </c>
      <c r="H13" s="56" t="s">
        <v>48</v>
      </c>
      <c r="I13" s="56" t="s">
        <v>48</v>
      </c>
      <c r="J13" s="56" t="s">
        <v>16</v>
      </c>
      <c r="K13" s="56" t="s">
        <v>48</v>
      </c>
      <c r="L13" s="56" t="s">
        <v>48</v>
      </c>
      <c r="M13" s="56" t="s">
        <v>16</v>
      </c>
      <c r="N13" s="56" t="s">
        <v>48</v>
      </c>
      <c r="O13" s="56" t="s">
        <v>16</v>
      </c>
      <c r="P13" s="56" t="s">
        <v>48</v>
      </c>
      <c r="Q13" s="56" t="s">
        <v>48</v>
      </c>
      <c r="R13" s="56" t="s">
        <v>48</v>
      </c>
      <c r="S13" s="56" t="s">
        <v>48</v>
      </c>
      <c r="T13" s="56" t="s">
        <v>48</v>
      </c>
      <c r="U13" s="56" t="s">
        <v>48</v>
      </c>
      <c r="V13" s="56" t="s">
        <v>48</v>
      </c>
      <c r="W13" s="56" t="s">
        <v>48</v>
      </c>
      <c r="X13" s="56" t="s">
        <v>48</v>
      </c>
      <c r="Y13" s="56" t="s">
        <v>48</v>
      </c>
      <c r="Z13" s="56" t="s">
        <v>48</v>
      </c>
      <c r="AA13" s="56" t="s">
        <v>48</v>
      </c>
      <c r="AB13" s="56" t="s">
        <v>48</v>
      </c>
      <c r="AC13" s="56" t="s">
        <v>48</v>
      </c>
      <c r="AD13" s="56" t="s">
        <v>48</v>
      </c>
      <c r="AE13" s="56" t="s">
        <v>48</v>
      </c>
      <c r="AF13" s="56" t="s">
        <v>48</v>
      </c>
      <c r="AG13" s="56" t="s">
        <v>48</v>
      </c>
      <c r="AH13" s="56" t="s">
        <v>48</v>
      </c>
      <c r="AI13" s="56" t="s">
        <v>48</v>
      </c>
      <c r="AJ13" s="56" t="s">
        <v>48</v>
      </c>
      <c r="AK13" s="56" t="s">
        <v>48</v>
      </c>
      <c r="AL13" s="56" t="s">
        <v>48</v>
      </c>
      <c r="AM13" s="56" t="s">
        <v>48</v>
      </c>
      <c r="AN13" s="56" t="s">
        <v>48</v>
      </c>
      <c r="AO13" s="56" t="s">
        <v>48</v>
      </c>
      <c r="AP13" s="56" t="s">
        <v>48</v>
      </c>
      <c r="AQ13" s="56" t="s">
        <v>48</v>
      </c>
      <c r="AR13" s="56" t="s">
        <v>48</v>
      </c>
      <c r="AS13" s="56" t="s">
        <v>48</v>
      </c>
      <c r="AT13" s="56" t="s">
        <v>48</v>
      </c>
      <c r="AU13" s="56" t="s">
        <v>48</v>
      </c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>
        <f t="shared" si="0"/>
        <v>40</v>
      </c>
      <c r="CB13" s="52">
        <f t="shared" si="1"/>
        <v>93.023255813953483</v>
      </c>
    </row>
    <row r="14" spans="1:80" ht="17.25">
      <c r="A14" s="50">
        <v>7</v>
      </c>
      <c r="B14" s="32">
        <v>2023007</v>
      </c>
      <c r="C14" s="32" t="s">
        <v>73</v>
      </c>
      <c r="D14" s="34"/>
      <c r="E14" s="56" t="s">
        <v>16</v>
      </c>
      <c r="F14" s="56" t="s">
        <v>16</v>
      </c>
      <c r="G14" s="56" t="s">
        <v>16</v>
      </c>
      <c r="H14" s="56" t="s">
        <v>16</v>
      </c>
      <c r="I14" s="56" t="s">
        <v>48</v>
      </c>
      <c r="J14" s="56" t="s">
        <v>48</v>
      </c>
      <c r="K14" s="56" t="s">
        <v>48</v>
      </c>
      <c r="L14" s="56" t="s">
        <v>16</v>
      </c>
      <c r="M14" s="56" t="s">
        <v>48</v>
      </c>
      <c r="N14" s="56" t="s">
        <v>48</v>
      </c>
      <c r="O14" s="56" t="s">
        <v>48</v>
      </c>
      <c r="P14" s="56" t="s">
        <v>16</v>
      </c>
      <c r="Q14" s="56" t="s">
        <v>48</v>
      </c>
      <c r="R14" s="56" t="s">
        <v>48</v>
      </c>
      <c r="S14" s="56" t="s">
        <v>48</v>
      </c>
      <c r="T14" s="56" t="s">
        <v>48</v>
      </c>
      <c r="U14" s="56" t="s">
        <v>48</v>
      </c>
      <c r="V14" s="56" t="s">
        <v>48</v>
      </c>
      <c r="W14" s="56" t="s">
        <v>48</v>
      </c>
      <c r="X14" s="56" t="s">
        <v>48</v>
      </c>
      <c r="Y14" s="56" t="s">
        <v>48</v>
      </c>
      <c r="Z14" s="56" t="s">
        <v>48</v>
      </c>
      <c r="AA14" s="56" t="s">
        <v>16</v>
      </c>
      <c r="AB14" s="56" t="s">
        <v>16</v>
      </c>
      <c r="AC14" s="56" t="s">
        <v>48</v>
      </c>
      <c r="AD14" s="56" t="s">
        <v>48</v>
      </c>
      <c r="AE14" s="56" t="s">
        <v>16</v>
      </c>
      <c r="AF14" s="56" t="s">
        <v>16</v>
      </c>
      <c r="AG14" s="56" t="s">
        <v>48</v>
      </c>
      <c r="AH14" s="56" t="s">
        <v>48</v>
      </c>
      <c r="AI14" s="56" t="s">
        <v>16</v>
      </c>
      <c r="AJ14" s="56" t="s">
        <v>48</v>
      </c>
      <c r="AK14" s="56" t="s">
        <v>16</v>
      </c>
      <c r="AL14" s="56" t="s">
        <v>16</v>
      </c>
      <c r="AM14" s="56" t="s">
        <v>48</v>
      </c>
      <c r="AN14" s="56" t="s">
        <v>16</v>
      </c>
      <c r="AO14" s="56" t="s">
        <v>16</v>
      </c>
      <c r="AP14" s="56" t="s">
        <v>16</v>
      </c>
      <c r="AQ14" s="56" t="s">
        <v>48</v>
      </c>
      <c r="AR14" s="56" t="s">
        <v>48</v>
      </c>
      <c r="AS14" s="56" t="s">
        <v>16</v>
      </c>
      <c r="AT14" s="56" t="s">
        <v>16</v>
      </c>
      <c r="AU14" s="56" t="s">
        <v>16</v>
      </c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>
        <f t="shared" si="0"/>
        <v>24</v>
      </c>
      <c r="CB14" s="52">
        <f t="shared" si="1"/>
        <v>55.813953488372093</v>
      </c>
    </row>
    <row r="15" spans="1:80" ht="17.25">
      <c r="A15" s="50">
        <v>8</v>
      </c>
      <c r="B15" s="32">
        <v>2023008</v>
      </c>
      <c r="C15" s="32" t="s">
        <v>109</v>
      </c>
      <c r="D15" s="34"/>
      <c r="E15" s="56" t="s">
        <v>48</v>
      </c>
      <c r="F15" s="56" t="s">
        <v>48</v>
      </c>
      <c r="G15" s="56" t="s">
        <v>48</v>
      </c>
      <c r="H15" s="56" t="s">
        <v>48</v>
      </c>
      <c r="I15" s="56" t="s">
        <v>48</v>
      </c>
      <c r="J15" s="56" t="s">
        <v>48</v>
      </c>
      <c r="K15" s="56" t="s">
        <v>48</v>
      </c>
      <c r="L15" s="56" t="s">
        <v>48</v>
      </c>
      <c r="M15" s="56" t="s">
        <v>48</v>
      </c>
      <c r="N15" s="56" t="s">
        <v>48</v>
      </c>
      <c r="O15" s="56" t="s">
        <v>48</v>
      </c>
      <c r="P15" s="56" t="s">
        <v>48</v>
      </c>
      <c r="Q15" s="56" t="s">
        <v>48</v>
      </c>
      <c r="R15" s="56" t="s">
        <v>48</v>
      </c>
      <c r="S15" s="56" t="s">
        <v>48</v>
      </c>
      <c r="T15" s="56" t="s">
        <v>48</v>
      </c>
      <c r="U15" s="56" t="s">
        <v>48</v>
      </c>
      <c r="V15" s="56" t="s">
        <v>48</v>
      </c>
      <c r="W15" s="56" t="s">
        <v>48</v>
      </c>
      <c r="X15" s="56" t="s">
        <v>48</v>
      </c>
      <c r="Y15" s="56" t="s">
        <v>48</v>
      </c>
      <c r="Z15" s="56" t="s">
        <v>48</v>
      </c>
      <c r="AA15" s="56" t="s">
        <v>48</v>
      </c>
      <c r="AB15" s="56" t="s">
        <v>48</v>
      </c>
      <c r="AC15" s="56" t="s">
        <v>48</v>
      </c>
      <c r="AD15" s="56" t="s">
        <v>48</v>
      </c>
      <c r="AE15" s="56" t="s">
        <v>48</v>
      </c>
      <c r="AF15" s="56" t="s">
        <v>48</v>
      </c>
      <c r="AG15" s="56" t="s">
        <v>48</v>
      </c>
      <c r="AH15" s="56" t="s">
        <v>48</v>
      </c>
      <c r="AI15" s="56" t="s">
        <v>48</v>
      </c>
      <c r="AJ15" s="56" t="s">
        <v>48</v>
      </c>
      <c r="AK15" s="56" t="s">
        <v>48</v>
      </c>
      <c r="AL15" s="56" t="s">
        <v>48</v>
      </c>
      <c r="AM15" s="56" t="s">
        <v>48</v>
      </c>
      <c r="AN15" s="56" t="s">
        <v>48</v>
      </c>
      <c r="AO15" s="56" t="s">
        <v>48</v>
      </c>
      <c r="AP15" s="56" t="s">
        <v>48</v>
      </c>
      <c r="AQ15" s="56" t="s">
        <v>48</v>
      </c>
      <c r="AR15" s="56" t="s">
        <v>48</v>
      </c>
      <c r="AS15" s="56" t="s">
        <v>48</v>
      </c>
      <c r="AT15" s="56" t="s">
        <v>48</v>
      </c>
      <c r="AU15" s="56" t="s">
        <v>48</v>
      </c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>
        <f t="shared" si="0"/>
        <v>43</v>
      </c>
      <c r="CB15" s="52">
        <f t="shared" si="1"/>
        <v>100</v>
      </c>
    </row>
    <row r="16" spans="1:80" ht="17.25">
      <c r="A16" s="50">
        <v>9</v>
      </c>
      <c r="B16" s="32">
        <v>2023009</v>
      </c>
      <c r="C16" s="32" t="s">
        <v>110</v>
      </c>
      <c r="D16" s="34"/>
      <c r="E16" s="56" t="s">
        <v>16</v>
      </c>
      <c r="F16" s="56" t="s">
        <v>16</v>
      </c>
      <c r="G16" s="56" t="s">
        <v>16</v>
      </c>
      <c r="H16" s="56" t="s">
        <v>16</v>
      </c>
      <c r="I16" s="56" t="s">
        <v>16</v>
      </c>
      <c r="J16" s="56" t="s">
        <v>16</v>
      </c>
      <c r="K16" s="56" t="s">
        <v>16</v>
      </c>
      <c r="L16" s="56" t="s">
        <v>16</v>
      </c>
      <c r="M16" s="56" t="s">
        <v>16</v>
      </c>
      <c r="N16" s="56" t="s">
        <v>16</v>
      </c>
      <c r="O16" s="56" t="s">
        <v>16</v>
      </c>
      <c r="P16" s="56" t="s">
        <v>16</v>
      </c>
      <c r="Q16" s="56" t="s">
        <v>16</v>
      </c>
      <c r="R16" s="56" t="s">
        <v>16</v>
      </c>
      <c r="S16" s="56" t="s">
        <v>16</v>
      </c>
      <c r="T16" s="56" t="s">
        <v>16</v>
      </c>
      <c r="U16" s="56" t="s">
        <v>16</v>
      </c>
      <c r="V16" s="56" t="s">
        <v>48</v>
      </c>
      <c r="W16" s="56" t="s">
        <v>16</v>
      </c>
      <c r="X16" s="56" t="s">
        <v>16</v>
      </c>
      <c r="Y16" s="56" t="s">
        <v>16</v>
      </c>
      <c r="Z16" s="56" t="s">
        <v>16</v>
      </c>
      <c r="AA16" s="56" t="s">
        <v>16</v>
      </c>
      <c r="AB16" s="56" t="s">
        <v>16</v>
      </c>
      <c r="AC16" s="56" t="s">
        <v>48</v>
      </c>
      <c r="AD16" s="56" t="s">
        <v>48</v>
      </c>
      <c r="AE16" s="56" t="s">
        <v>48</v>
      </c>
      <c r="AF16" s="56" t="s">
        <v>16</v>
      </c>
      <c r="AG16" s="56" t="s">
        <v>16</v>
      </c>
      <c r="AH16" s="56" t="s">
        <v>16</v>
      </c>
      <c r="AI16" s="56" t="s">
        <v>16</v>
      </c>
      <c r="AJ16" s="56" t="s">
        <v>16</v>
      </c>
      <c r="AK16" s="56" t="s">
        <v>16</v>
      </c>
      <c r="AL16" s="56" t="s">
        <v>16</v>
      </c>
      <c r="AM16" s="56" t="s">
        <v>16</v>
      </c>
      <c r="AN16" s="56" t="s">
        <v>48</v>
      </c>
      <c r="AO16" s="56" t="s">
        <v>16</v>
      </c>
      <c r="AP16" s="56" t="s">
        <v>16</v>
      </c>
      <c r="AQ16" s="56" t="s">
        <v>16</v>
      </c>
      <c r="AR16" s="56" t="s">
        <v>16</v>
      </c>
      <c r="AS16" s="56" t="s">
        <v>16</v>
      </c>
      <c r="AT16" s="56" t="s">
        <v>16</v>
      </c>
      <c r="AU16" s="56" t="s">
        <v>48</v>
      </c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>
        <f t="shared" si="0"/>
        <v>6</v>
      </c>
      <c r="CB16" s="52">
        <f t="shared" si="1"/>
        <v>13.953488372093023</v>
      </c>
    </row>
    <row r="17" spans="1:80" ht="17.25">
      <c r="A17" s="50">
        <v>10</v>
      </c>
      <c r="B17" s="32">
        <v>2023010</v>
      </c>
      <c r="C17" s="32" t="s">
        <v>74</v>
      </c>
      <c r="D17" s="34"/>
      <c r="E17" s="56" t="s">
        <v>48</v>
      </c>
      <c r="F17" s="56" t="s">
        <v>48</v>
      </c>
      <c r="G17" s="56" t="s">
        <v>48</v>
      </c>
      <c r="H17" s="56" t="s">
        <v>16</v>
      </c>
      <c r="I17" s="56" t="s">
        <v>48</v>
      </c>
      <c r="J17" s="56" t="s">
        <v>48</v>
      </c>
      <c r="K17" s="56" t="s">
        <v>16</v>
      </c>
      <c r="L17" s="56" t="s">
        <v>16</v>
      </c>
      <c r="M17" s="56" t="s">
        <v>16</v>
      </c>
      <c r="N17" s="56" t="s">
        <v>16</v>
      </c>
      <c r="O17" s="56" t="s">
        <v>48</v>
      </c>
      <c r="P17" s="56" t="s">
        <v>16</v>
      </c>
      <c r="Q17" s="56" t="s">
        <v>48</v>
      </c>
      <c r="R17" s="56" t="s">
        <v>16</v>
      </c>
      <c r="S17" s="56" t="s">
        <v>16</v>
      </c>
      <c r="T17" s="56" t="s">
        <v>16</v>
      </c>
      <c r="U17" s="56" t="s">
        <v>16</v>
      </c>
      <c r="V17" s="56" t="s">
        <v>48</v>
      </c>
      <c r="W17" s="56" t="s">
        <v>48</v>
      </c>
      <c r="X17" s="56" t="s">
        <v>16</v>
      </c>
      <c r="Y17" s="56" t="s">
        <v>16</v>
      </c>
      <c r="Z17" s="56" t="s">
        <v>16</v>
      </c>
      <c r="AA17" s="56" t="s">
        <v>48</v>
      </c>
      <c r="AB17" s="56" t="s">
        <v>16</v>
      </c>
      <c r="AC17" s="56" t="s">
        <v>48</v>
      </c>
      <c r="AD17" s="56" t="s">
        <v>48</v>
      </c>
      <c r="AE17" s="56" t="s">
        <v>48</v>
      </c>
      <c r="AF17" s="56" t="s">
        <v>48</v>
      </c>
      <c r="AG17" s="56" t="s">
        <v>16</v>
      </c>
      <c r="AH17" s="56" t="s">
        <v>48</v>
      </c>
      <c r="AI17" s="56" t="s">
        <v>48</v>
      </c>
      <c r="AJ17" s="56" t="s">
        <v>48</v>
      </c>
      <c r="AK17" s="56" t="s">
        <v>48</v>
      </c>
      <c r="AL17" s="56" t="s">
        <v>48</v>
      </c>
      <c r="AM17" s="56" t="s">
        <v>48</v>
      </c>
      <c r="AN17" s="56" t="s">
        <v>48</v>
      </c>
      <c r="AO17" s="56" t="s">
        <v>48</v>
      </c>
      <c r="AP17" s="56" t="s">
        <v>48</v>
      </c>
      <c r="AQ17" s="56" t="s">
        <v>16</v>
      </c>
      <c r="AR17" s="56" t="s">
        <v>48</v>
      </c>
      <c r="AS17" s="56" t="s">
        <v>48</v>
      </c>
      <c r="AT17" s="56" t="s">
        <v>48</v>
      </c>
      <c r="AU17" s="56" t="s">
        <v>48</v>
      </c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>
        <f t="shared" si="0"/>
        <v>27</v>
      </c>
      <c r="CB17" s="52">
        <f t="shared" si="1"/>
        <v>62.790697674418603</v>
      </c>
    </row>
    <row r="18" spans="1:80" ht="17.25">
      <c r="A18" s="50">
        <v>11</v>
      </c>
      <c r="B18" s="32">
        <v>2023011</v>
      </c>
      <c r="C18" s="32" t="s">
        <v>111</v>
      </c>
      <c r="D18" s="34"/>
      <c r="E18" s="56" t="s">
        <v>16</v>
      </c>
      <c r="F18" s="56" t="s">
        <v>16</v>
      </c>
      <c r="G18" s="56" t="s">
        <v>16</v>
      </c>
      <c r="H18" s="56" t="s">
        <v>16</v>
      </c>
      <c r="I18" s="56" t="s">
        <v>16</v>
      </c>
      <c r="J18" s="56" t="s">
        <v>16</v>
      </c>
      <c r="K18" s="56" t="s">
        <v>16</v>
      </c>
      <c r="L18" s="56" t="s">
        <v>16</v>
      </c>
      <c r="M18" s="56" t="s">
        <v>16</v>
      </c>
      <c r="N18" s="56" t="s">
        <v>16</v>
      </c>
      <c r="O18" s="56" t="s">
        <v>16</v>
      </c>
      <c r="P18" s="56" t="s">
        <v>16</v>
      </c>
      <c r="Q18" s="56" t="s">
        <v>16</v>
      </c>
      <c r="R18" s="56" t="s">
        <v>16</v>
      </c>
      <c r="S18" s="56" t="s">
        <v>16</v>
      </c>
      <c r="T18" s="56" t="s">
        <v>16</v>
      </c>
      <c r="U18" s="56" t="s">
        <v>16</v>
      </c>
      <c r="V18" s="56" t="s">
        <v>16</v>
      </c>
      <c r="W18" s="56" t="s">
        <v>16</v>
      </c>
      <c r="X18" s="56" t="s">
        <v>16</v>
      </c>
      <c r="Y18" s="56" t="s">
        <v>16</v>
      </c>
      <c r="Z18" s="56" t="s">
        <v>16</v>
      </c>
      <c r="AA18" s="56" t="s">
        <v>16</v>
      </c>
      <c r="AB18" s="56" t="s">
        <v>16</v>
      </c>
      <c r="AC18" s="56" t="s">
        <v>16</v>
      </c>
      <c r="AD18" s="56" t="s">
        <v>16</v>
      </c>
      <c r="AE18" s="56" t="s">
        <v>48</v>
      </c>
      <c r="AF18" s="56" t="s">
        <v>16</v>
      </c>
      <c r="AG18" s="56" t="s">
        <v>48</v>
      </c>
      <c r="AH18" s="56" t="s">
        <v>16</v>
      </c>
      <c r="AI18" s="56" t="s">
        <v>16</v>
      </c>
      <c r="AJ18" s="56" t="s">
        <v>48</v>
      </c>
      <c r="AK18" s="56" t="s">
        <v>48</v>
      </c>
      <c r="AL18" s="56" t="s">
        <v>48</v>
      </c>
      <c r="AM18" s="56" t="s">
        <v>16</v>
      </c>
      <c r="AN18" s="56" t="s">
        <v>48</v>
      </c>
      <c r="AO18" s="56" t="s">
        <v>48</v>
      </c>
      <c r="AP18" s="56" t="s">
        <v>16</v>
      </c>
      <c r="AQ18" s="56" t="s">
        <v>48</v>
      </c>
      <c r="AR18" s="56" t="s">
        <v>48</v>
      </c>
      <c r="AS18" s="56" t="s">
        <v>48</v>
      </c>
      <c r="AT18" s="56" t="s">
        <v>48</v>
      </c>
      <c r="AU18" s="56" t="s">
        <v>16</v>
      </c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>
        <f t="shared" si="0"/>
        <v>11</v>
      </c>
      <c r="CB18" s="52">
        <f t="shared" si="1"/>
        <v>25.581395348837209</v>
      </c>
    </row>
    <row r="19" spans="1:80" ht="17.25">
      <c r="A19" s="50">
        <v>12</v>
      </c>
      <c r="B19" s="32">
        <v>2023012</v>
      </c>
      <c r="C19" s="32" t="s">
        <v>96</v>
      </c>
      <c r="D19" s="34"/>
      <c r="E19" s="56" t="s">
        <v>48</v>
      </c>
      <c r="F19" s="56" t="s">
        <v>48</v>
      </c>
      <c r="G19" s="56" t="s">
        <v>48</v>
      </c>
      <c r="H19" s="56" t="s">
        <v>48</v>
      </c>
      <c r="I19" s="56" t="s">
        <v>48</v>
      </c>
      <c r="J19" s="56" t="s">
        <v>48</v>
      </c>
      <c r="K19" s="56" t="s">
        <v>48</v>
      </c>
      <c r="L19" s="56" t="s">
        <v>48</v>
      </c>
      <c r="M19" s="56" t="s">
        <v>48</v>
      </c>
      <c r="N19" s="56" t="s">
        <v>48</v>
      </c>
      <c r="O19" s="56" t="s">
        <v>48</v>
      </c>
      <c r="P19" s="56" t="s">
        <v>48</v>
      </c>
      <c r="Q19" s="56" t="s">
        <v>48</v>
      </c>
      <c r="R19" s="56" t="s">
        <v>48</v>
      </c>
      <c r="S19" s="56" t="s">
        <v>48</v>
      </c>
      <c r="T19" s="56" t="s">
        <v>48</v>
      </c>
      <c r="U19" s="56" t="s">
        <v>48</v>
      </c>
      <c r="V19" s="56" t="s">
        <v>48</v>
      </c>
      <c r="W19" s="56" t="s">
        <v>48</v>
      </c>
      <c r="X19" s="56" t="s">
        <v>48</v>
      </c>
      <c r="Y19" s="56" t="s">
        <v>48</v>
      </c>
      <c r="Z19" s="56" t="s">
        <v>48</v>
      </c>
      <c r="AA19" s="56" t="s">
        <v>48</v>
      </c>
      <c r="AB19" s="56" t="s">
        <v>48</v>
      </c>
      <c r="AC19" s="56" t="s">
        <v>48</v>
      </c>
      <c r="AD19" s="56" t="s">
        <v>48</v>
      </c>
      <c r="AE19" s="56" t="s">
        <v>48</v>
      </c>
      <c r="AF19" s="56" t="s">
        <v>48</v>
      </c>
      <c r="AG19" s="56" t="s">
        <v>48</v>
      </c>
      <c r="AH19" s="56" t="s">
        <v>48</v>
      </c>
      <c r="AI19" s="56" t="s">
        <v>16</v>
      </c>
      <c r="AJ19" s="56" t="s">
        <v>48</v>
      </c>
      <c r="AK19" s="56" t="s">
        <v>48</v>
      </c>
      <c r="AL19" s="56" t="s">
        <v>48</v>
      </c>
      <c r="AM19" s="56" t="s">
        <v>48</v>
      </c>
      <c r="AN19" s="56" t="s">
        <v>48</v>
      </c>
      <c r="AO19" s="56" t="s">
        <v>48</v>
      </c>
      <c r="AP19" s="56" t="s">
        <v>48</v>
      </c>
      <c r="AQ19" s="56" t="s">
        <v>48</v>
      </c>
      <c r="AR19" s="56" t="s">
        <v>48</v>
      </c>
      <c r="AS19" s="56" t="s">
        <v>48</v>
      </c>
      <c r="AT19" s="56" t="s">
        <v>48</v>
      </c>
      <c r="AU19" s="56" t="s">
        <v>48</v>
      </c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>
        <f t="shared" si="0"/>
        <v>42</v>
      </c>
      <c r="CB19" s="52">
        <f t="shared" si="1"/>
        <v>97.674418604651166</v>
      </c>
    </row>
    <row r="20" spans="1:80" ht="17.25">
      <c r="A20" s="50">
        <v>13</v>
      </c>
      <c r="B20" s="32">
        <v>2023013</v>
      </c>
      <c r="C20" s="32" t="s">
        <v>112</v>
      </c>
      <c r="D20" s="34"/>
      <c r="E20" s="56" t="s">
        <v>48</v>
      </c>
      <c r="F20" s="56" t="s">
        <v>48</v>
      </c>
      <c r="G20" s="56" t="s">
        <v>48</v>
      </c>
      <c r="H20" s="56" t="s">
        <v>48</v>
      </c>
      <c r="I20" s="56" t="s">
        <v>48</v>
      </c>
      <c r="J20" s="56" t="s">
        <v>16</v>
      </c>
      <c r="K20" s="56" t="s">
        <v>48</v>
      </c>
      <c r="L20" s="56" t="s">
        <v>16</v>
      </c>
      <c r="M20" s="56" t="s">
        <v>16</v>
      </c>
      <c r="N20" s="56" t="s">
        <v>16</v>
      </c>
      <c r="O20" s="56" t="s">
        <v>48</v>
      </c>
      <c r="P20" s="56" t="s">
        <v>16</v>
      </c>
      <c r="Q20" s="56" t="s">
        <v>16</v>
      </c>
      <c r="R20" s="56" t="s">
        <v>48</v>
      </c>
      <c r="S20" s="56" t="s">
        <v>16</v>
      </c>
      <c r="T20" s="56" t="s">
        <v>48</v>
      </c>
      <c r="U20" s="56" t="s">
        <v>48</v>
      </c>
      <c r="V20" s="56" t="s">
        <v>48</v>
      </c>
      <c r="W20" s="56" t="s">
        <v>48</v>
      </c>
      <c r="X20" s="56" t="s">
        <v>48</v>
      </c>
      <c r="Y20" s="56" t="s">
        <v>16</v>
      </c>
      <c r="Z20" s="56" t="s">
        <v>16</v>
      </c>
      <c r="AA20" s="56" t="s">
        <v>48</v>
      </c>
      <c r="AB20" s="56" t="s">
        <v>48</v>
      </c>
      <c r="AC20" s="56" t="s">
        <v>48</v>
      </c>
      <c r="AD20" s="56" t="s">
        <v>48</v>
      </c>
      <c r="AE20" s="56" t="s">
        <v>48</v>
      </c>
      <c r="AF20" s="56" t="s">
        <v>16</v>
      </c>
      <c r="AG20" s="56" t="s">
        <v>16</v>
      </c>
      <c r="AH20" s="56" t="s">
        <v>16</v>
      </c>
      <c r="AI20" s="56" t="s">
        <v>16</v>
      </c>
      <c r="AJ20" s="56" t="s">
        <v>16</v>
      </c>
      <c r="AK20" s="56" t="s">
        <v>16</v>
      </c>
      <c r="AL20" s="56" t="s">
        <v>16</v>
      </c>
      <c r="AM20" s="56" t="s">
        <v>48</v>
      </c>
      <c r="AN20" s="56" t="s">
        <v>48</v>
      </c>
      <c r="AO20" s="56" t="s">
        <v>48</v>
      </c>
      <c r="AP20" s="56" t="s">
        <v>16</v>
      </c>
      <c r="AQ20" s="56" t="s">
        <v>16</v>
      </c>
      <c r="AR20" s="56" t="s">
        <v>48</v>
      </c>
      <c r="AS20" s="56" t="s">
        <v>48</v>
      </c>
      <c r="AT20" s="56" t="s">
        <v>48</v>
      </c>
      <c r="AU20" s="56" t="s">
        <v>48</v>
      </c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>
        <f t="shared" si="0"/>
        <v>25</v>
      </c>
      <c r="CB20" s="52">
        <f t="shared" si="1"/>
        <v>58.139534883720927</v>
      </c>
    </row>
    <row r="21" spans="1:80" ht="17.25">
      <c r="A21" s="50">
        <v>14</v>
      </c>
      <c r="B21" s="32">
        <v>2023014</v>
      </c>
      <c r="C21" s="32" t="s">
        <v>75</v>
      </c>
      <c r="D21" s="34"/>
      <c r="E21" s="56" t="s">
        <v>16</v>
      </c>
      <c r="F21" s="56" t="s">
        <v>16</v>
      </c>
      <c r="G21" s="56" t="s">
        <v>48</v>
      </c>
      <c r="H21" s="56" t="s">
        <v>16</v>
      </c>
      <c r="I21" s="56" t="s">
        <v>48</v>
      </c>
      <c r="J21" s="56" t="s">
        <v>48</v>
      </c>
      <c r="K21" s="56" t="s">
        <v>16</v>
      </c>
      <c r="L21" s="56" t="s">
        <v>16</v>
      </c>
      <c r="M21" s="56" t="s">
        <v>48</v>
      </c>
      <c r="N21" s="56" t="s">
        <v>48</v>
      </c>
      <c r="O21" s="56" t="s">
        <v>48</v>
      </c>
      <c r="P21" s="56" t="s">
        <v>16</v>
      </c>
      <c r="Q21" s="56" t="s">
        <v>48</v>
      </c>
      <c r="R21" s="56" t="s">
        <v>16</v>
      </c>
      <c r="S21" s="56" t="s">
        <v>16</v>
      </c>
      <c r="T21" s="56" t="s">
        <v>48</v>
      </c>
      <c r="U21" s="56" t="s">
        <v>48</v>
      </c>
      <c r="V21" s="56" t="s">
        <v>48</v>
      </c>
      <c r="W21" s="56" t="s">
        <v>48</v>
      </c>
      <c r="X21" s="56" t="s">
        <v>48</v>
      </c>
      <c r="Y21" s="56" t="s">
        <v>48</v>
      </c>
      <c r="Z21" s="56" t="s">
        <v>48</v>
      </c>
      <c r="AA21" s="56" t="s">
        <v>48</v>
      </c>
      <c r="AB21" s="56" t="s">
        <v>48</v>
      </c>
      <c r="AC21" s="56" t="s">
        <v>48</v>
      </c>
      <c r="AD21" s="56" t="s">
        <v>48</v>
      </c>
      <c r="AE21" s="56" t="s">
        <v>48</v>
      </c>
      <c r="AF21" s="56" t="s">
        <v>48</v>
      </c>
      <c r="AG21" s="56" t="s">
        <v>48</v>
      </c>
      <c r="AH21" s="56" t="s">
        <v>48</v>
      </c>
      <c r="AI21" s="56" t="s">
        <v>48</v>
      </c>
      <c r="AJ21" s="56" t="s">
        <v>48</v>
      </c>
      <c r="AK21" s="56" t="s">
        <v>48</v>
      </c>
      <c r="AL21" s="56" t="s">
        <v>48</v>
      </c>
      <c r="AM21" s="56" t="s">
        <v>48</v>
      </c>
      <c r="AN21" s="56" t="s">
        <v>48</v>
      </c>
      <c r="AO21" s="56" t="s">
        <v>48</v>
      </c>
      <c r="AP21" s="56" t="s">
        <v>48</v>
      </c>
      <c r="AQ21" s="56" t="s">
        <v>48</v>
      </c>
      <c r="AR21" s="56" t="s">
        <v>48</v>
      </c>
      <c r="AS21" s="56" t="s">
        <v>48</v>
      </c>
      <c r="AT21" s="56" t="s">
        <v>48</v>
      </c>
      <c r="AU21" s="56" t="s">
        <v>48</v>
      </c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>
        <f t="shared" si="0"/>
        <v>35</v>
      </c>
      <c r="CB21" s="52">
        <f t="shared" si="1"/>
        <v>81.395348837209298</v>
      </c>
    </row>
    <row r="22" spans="1:80" ht="17.25">
      <c r="A22" s="50">
        <v>15</v>
      </c>
      <c r="B22" s="32">
        <v>2023015</v>
      </c>
      <c r="C22" s="32" t="s">
        <v>113</v>
      </c>
      <c r="D22" s="34"/>
      <c r="E22" s="56" t="s">
        <v>16</v>
      </c>
      <c r="F22" s="56" t="s">
        <v>16</v>
      </c>
      <c r="G22" s="56" t="s">
        <v>48</v>
      </c>
      <c r="H22" s="56" t="s">
        <v>16</v>
      </c>
      <c r="I22" s="56" t="s">
        <v>48</v>
      </c>
      <c r="J22" s="56" t="s">
        <v>16</v>
      </c>
      <c r="K22" s="56" t="s">
        <v>48</v>
      </c>
      <c r="L22" s="56" t="s">
        <v>48</v>
      </c>
      <c r="M22" s="56" t="s">
        <v>48</v>
      </c>
      <c r="N22" s="56" t="s">
        <v>48</v>
      </c>
      <c r="O22" s="56" t="s">
        <v>48</v>
      </c>
      <c r="P22" s="56" t="s">
        <v>48</v>
      </c>
      <c r="Q22" s="56" t="s">
        <v>48</v>
      </c>
      <c r="R22" s="56" t="s">
        <v>48</v>
      </c>
      <c r="S22" s="56" t="s">
        <v>16</v>
      </c>
      <c r="T22" s="56" t="s">
        <v>48</v>
      </c>
      <c r="U22" s="56" t="s">
        <v>48</v>
      </c>
      <c r="V22" s="56" t="s">
        <v>48</v>
      </c>
      <c r="W22" s="56" t="s">
        <v>48</v>
      </c>
      <c r="X22" s="56" t="s">
        <v>16</v>
      </c>
      <c r="Y22" s="56" t="s">
        <v>48</v>
      </c>
      <c r="Z22" s="56" t="s">
        <v>48</v>
      </c>
      <c r="AA22" s="56" t="s">
        <v>48</v>
      </c>
      <c r="AB22" s="56" t="s">
        <v>48</v>
      </c>
      <c r="AC22" s="56" t="s">
        <v>48</v>
      </c>
      <c r="AD22" s="56" t="s">
        <v>48</v>
      </c>
      <c r="AE22" s="56" t="s">
        <v>48</v>
      </c>
      <c r="AF22" s="56" t="s">
        <v>16</v>
      </c>
      <c r="AG22" s="56" t="s">
        <v>48</v>
      </c>
      <c r="AH22" s="56" t="s">
        <v>48</v>
      </c>
      <c r="AI22" s="56" t="s">
        <v>48</v>
      </c>
      <c r="AJ22" s="56" t="s">
        <v>48</v>
      </c>
      <c r="AK22" s="56" t="s">
        <v>48</v>
      </c>
      <c r="AL22" s="56" t="s">
        <v>48</v>
      </c>
      <c r="AM22" s="56" t="s">
        <v>48</v>
      </c>
      <c r="AN22" s="56" t="s">
        <v>48</v>
      </c>
      <c r="AO22" s="56" t="s">
        <v>48</v>
      </c>
      <c r="AP22" s="56" t="s">
        <v>16</v>
      </c>
      <c r="AQ22" s="56" t="s">
        <v>48</v>
      </c>
      <c r="AR22" s="56" t="s">
        <v>48</v>
      </c>
      <c r="AS22" s="56" t="s">
        <v>48</v>
      </c>
      <c r="AT22" s="56" t="s">
        <v>48</v>
      </c>
      <c r="AU22" s="56" t="s">
        <v>48</v>
      </c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>
        <f t="shared" si="0"/>
        <v>35</v>
      </c>
      <c r="CB22" s="52">
        <f t="shared" si="1"/>
        <v>81.395348837209298</v>
      </c>
    </row>
    <row r="23" spans="1:80" ht="17.25">
      <c r="A23" s="50">
        <v>16</v>
      </c>
      <c r="B23" s="32">
        <v>2023016</v>
      </c>
      <c r="C23" s="32" t="s">
        <v>114</v>
      </c>
      <c r="D23" s="34"/>
      <c r="E23" s="56" t="s">
        <v>16</v>
      </c>
      <c r="F23" s="56" t="s">
        <v>48</v>
      </c>
      <c r="G23" s="56" t="s">
        <v>48</v>
      </c>
      <c r="H23" s="56" t="s">
        <v>48</v>
      </c>
      <c r="I23" s="56" t="s">
        <v>48</v>
      </c>
      <c r="J23" s="56" t="s">
        <v>48</v>
      </c>
      <c r="K23" s="56" t="s">
        <v>48</v>
      </c>
      <c r="L23" s="56" t="s">
        <v>16</v>
      </c>
      <c r="M23" s="56" t="s">
        <v>48</v>
      </c>
      <c r="N23" s="56" t="s">
        <v>16</v>
      </c>
      <c r="O23" s="56" t="s">
        <v>48</v>
      </c>
      <c r="P23" s="56" t="s">
        <v>48</v>
      </c>
      <c r="Q23" s="56" t="s">
        <v>48</v>
      </c>
      <c r="R23" s="56" t="s">
        <v>48</v>
      </c>
      <c r="S23" s="56" t="s">
        <v>48</v>
      </c>
      <c r="T23" s="56" t="s">
        <v>48</v>
      </c>
      <c r="U23" s="56" t="s">
        <v>48</v>
      </c>
      <c r="V23" s="56" t="s">
        <v>48</v>
      </c>
      <c r="W23" s="56" t="s">
        <v>48</v>
      </c>
      <c r="X23" s="56" t="s">
        <v>48</v>
      </c>
      <c r="Y23" s="56" t="s">
        <v>48</v>
      </c>
      <c r="Z23" s="56" t="s">
        <v>48</v>
      </c>
      <c r="AA23" s="56" t="s">
        <v>48</v>
      </c>
      <c r="AB23" s="56" t="s">
        <v>48</v>
      </c>
      <c r="AC23" s="56" t="s">
        <v>48</v>
      </c>
      <c r="AD23" s="56" t="s">
        <v>48</v>
      </c>
      <c r="AE23" s="56" t="s">
        <v>48</v>
      </c>
      <c r="AF23" s="56" t="s">
        <v>16</v>
      </c>
      <c r="AG23" s="56" t="s">
        <v>16</v>
      </c>
      <c r="AH23" s="56" t="s">
        <v>48</v>
      </c>
      <c r="AI23" s="56" t="s">
        <v>16</v>
      </c>
      <c r="AJ23" s="56" t="s">
        <v>48</v>
      </c>
      <c r="AK23" s="56" t="s">
        <v>48</v>
      </c>
      <c r="AL23" s="56" t="s">
        <v>48</v>
      </c>
      <c r="AM23" s="56" t="s">
        <v>48</v>
      </c>
      <c r="AN23" s="56" t="s">
        <v>48</v>
      </c>
      <c r="AO23" s="56" t="s">
        <v>48</v>
      </c>
      <c r="AP23" s="56" t="s">
        <v>16</v>
      </c>
      <c r="AQ23" s="56" t="s">
        <v>16</v>
      </c>
      <c r="AR23" s="56" t="s">
        <v>48</v>
      </c>
      <c r="AS23" s="56" t="s">
        <v>48</v>
      </c>
      <c r="AT23" s="56" t="s">
        <v>48</v>
      </c>
      <c r="AU23" s="56" t="s">
        <v>48</v>
      </c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>
        <f t="shared" si="0"/>
        <v>35</v>
      </c>
      <c r="CB23" s="52">
        <f t="shared" si="1"/>
        <v>81.395348837209298</v>
      </c>
    </row>
    <row r="24" spans="1:80" ht="17.25">
      <c r="A24" s="50">
        <v>17</v>
      </c>
      <c r="B24" s="32">
        <v>2023017</v>
      </c>
      <c r="C24" s="32" t="s">
        <v>115</v>
      </c>
      <c r="D24" s="34"/>
      <c r="E24" s="56" t="s">
        <v>48</v>
      </c>
      <c r="F24" s="56" t="s">
        <v>16</v>
      </c>
      <c r="G24" s="56" t="s">
        <v>16</v>
      </c>
      <c r="H24" s="56" t="s">
        <v>16</v>
      </c>
      <c r="I24" s="56" t="s">
        <v>48</v>
      </c>
      <c r="J24" s="56" t="s">
        <v>16</v>
      </c>
      <c r="K24" s="56" t="s">
        <v>48</v>
      </c>
      <c r="L24" s="56" t="s">
        <v>16</v>
      </c>
      <c r="M24" s="56" t="s">
        <v>16</v>
      </c>
      <c r="N24" s="56" t="s">
        <v>16</v>
      </c>
      <c r="O24" s="56" t="s">
        <v>16</v>
      </c>
      <c r="P24" s="56" t="s">
        <v>48</v>
      </c>
      <c r="Q24" s="56" t="s">
        <v>48</v>
      </c>
      <c r="R24" s="56" t="s">
        <v>48</v>
      </c>
      <c r="S24" s="56" t="s">
        <v>16</v>
      </c>
      <c r="T24" s="56" t="s">
        <v>16</v>
      </c>
      <c r="U24" s="56" t="s">
        <v>16</v>
      </c>
      <c r="V24" s="56" t="s">
        <v>48</v>
      </c>
      <c r="W24" s="56" t="s">
        <v>48</v>
      </c>
      <c r="X24" s="56" t="s">
        <v>16</v>
      </c>
      <c r="Y24" s="56" t="s">
        <v>16</v>
      </c>
      <c r="Z24" s="56" t="s">
        <v>16</v>
      </c>
      <c r="AA24" s="56" t="s">
        <v>16</v>
      </c>
      <c r="AB24" s="56" t="s">
        <v>48</v>
      </c>
      <c r="AC24" s="56" t="s">
        <v>48</v>
      </c>
      <c r="AD24" s="56" t="s">
        <v>16</v>
      </c>
      <c r="AE24" s="56" t="s">
        <v>48</v>
      </c>
      <c r="AF24" s="56" t="s">
        <v>48</v>
      </c>
      <c r="AG24" s="56" t="s">
        <v>16</v>
      </c>
      <c r="AH24" s="56" t="s">
        <v>16</v>
      </c>
      <c r="AI24" s="56" t="s">
        <v>16</v>
      </c>
      <c r="AJ24" s="56" t="s">
        <v>16</v>
      </c>
      <c r="AK24" s="56" t="s">
        <v>16</v>
      </c>
      <c r="AL24" s="56" t="s">
        <v>16</v>
      </c>
      <c r="AM24" s="56" t="s">
        <v>16</v>
      </c>
      <c r="AN24" s="56" t="s">
        <v>16</v>
      </c>
      <c r="AO24" s="56" t="s">
        <v>16</v>
      </c>
      <c r="AP24" s="56" t="s">
        <v>48</v>
      </c>
      <c r="AQ24" s="56" t="s">
        <v>16</v>
      </c>
      <c r="AR24" s="56" t="s">
        <v>16</v>
      </c>
      <c r="AS24" s="56" t="s">
        <v>48</v>
      </c>
      <c r="AT24" s="56" t="s">
        <v>16</v>
      </c>
      <c r="AU24" s="56" t="s">
        <v>16</v>
      </c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>
        <f t="shared" si="0"/>
        <v>14</v>
      </c>
      <c r="CB24" s="52">
        <f t="shared" si="1"/>
        <v>32.558139534883722</v>
      </c>
    </row>
    <row r="25" spans="1:80" ht="17.25">
      <c r="A25" s="50">
        <v>18</v>
      </c>
      <c r="B25" s="32">
        <v>2023018</v>
      </c>
      <c r="C25" s="32" t="s">
        <v>116</v>
      </c>
      <c r="D25" s="34"/>
      <c r="E25" s="56" t="s">
        <v>16</v>
      </c>
      <c r="F25" s="56" t="s">
        <v>16</v>
      </c>
      <c r="G25" s="56" t="s">
        <v>16</v>
      </c>
      <c r="H25" s="56" t="s">
        <v>16</v>
      </c>
      <c r="I25" s="56" t="s">
        <v>16</v>
      </c>
      <c r="J25" s="56" t="s">
        <v>16</v>
      </c>
      <c r="K25" s="56" t="s">
        <v>16</v>
      </c>
      <c r="L25" s="56" t="s">
        <v>16</v>
      </c>
      <c r="M25" s="56" t="s">
        <v>16</v>
      </c>
      <c r="N25" s="56" t="s">
        <v>16</v>
      </c>
      <c r="O25" s="56" t="s">
        <v>16</v>
      </c>
      <c r="P25" s="56" t="s">
        <v>16</v>
      </c>
      <c r="Q25" s="56" t="s">
        <v>16</v>
      </c>
      <c r="R25" s="56" t="s">
        <v>16</v>
      </c>
      <c r="S25" s="56" t="s">
        <v>48</v>
      </c>
      <c r="T25" s="56" t="s">
        <v>48</v>
      </c>
      <c r="U25" s="56" t="s">
        <v>48</v>
      </c>
      <c r="V25" s="56" t="s">
        <v>48</v>
      </c>
      <c r="W25" s="56" t="s">
        <v>48</v>
      </c>
      <c r="X25" s="56" t="s">
        <v>48</v>
      </c>
      <c r="Y25" s="56" t="s">
        <v>48</v>
      </c>
      <c r="Z25" s="56" t="s">
        <v>48</v>
      </c>
      <c r="AA25" s="56" t="s">
        <v>48</v>
      </c>
      <c r="AB25" s="56" t="s">
        <v>48</v>
      </c>
      <c r="AC25" s="56" t="s">
        <v>48</v>
      </c>
      <c r="AD25" s="56" t="s">
        <v>48</v>
      </c>
      <c r="AE25" s="56" t="s">
        <v>48</v>
      </c>
      <c r="AF25" s="56" t="s">
        <v>48</v>
      </c>
      <c r="AG25" s="56" t="s">
        <v>16</v>
      </c>
      <c r="AH25" s="56" t="s">
        <v>16</v>
      </c>
      <c r="AI25" s="56" t="s">
        <v>16</v>
      </c>
      <c r="AJ25" s="56" t="s">
        <v>48</v>
      </c>
      <c r="AK25" s="56" t="s">
        <v>16</v>
      </c>
      <c r="AL25" s="56" t="s">
        <v>16</v>
      </c>
      <c r="AM25" s="56" t="s">
        <v>16</v>
      </c>
      <c r="AN25" s="56" t="s">
        <v>48</v>
      </c>
      <c r="AO25" s="56" t="s">
        <v>16</v>
      </c>
      <c r="AP25" s="56" t="s">
        <v>48</v>
      </c>
      <c r="AQ25" s="56" t="s">
        <v>16</v>
      </c>
      <c r="AR25" s="56" t="s">
        <v>16</v>
      </c>
      <c r="AS25" s="56" t="s">
        <v>16</v>
      </c>
      <c r="AT25" s="56" t="s">
        <v>48</v>
      </c>
      <c r="AU25" s="56" t="s">
        <v>16</v>
      </c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>
        <f t="shared" si="0"/>
        <v>18</v>
      </c>
      <c r="CB25" s="52">
        <f t="shared" si="1"/>
        <v>41.860465116279073</v>
      </c>
    </row>
    <row r="26" spans="1:80" ht="17.25">
      <c r="A26" s="50">
        <v>19</v>
      </c>
      <c r="B26" s="32">
        <v>2023019</v>
      </c>
      <c r="C26" s="32" t="s">
        <v>117</v>
      </c>
      <c r="D26" s="34"/>
      <c r="E26" s="56" t="s">
        <v>48</v>
      </c>
      <c r="F26" s="56" t="s">
        <v>48</v>
      </c>
      <c r="G26" s="56" t="s">
        <v>48</v>
      </c>
      <c r="H26" s="56" t="s">
        <v>48</v>
      </c>
      <c r="I26" s="56" t="s">
        <v>48</v>
      </c>
      <c r="J26" s="56" t="s">
        <v>48</v>
      </c>
      <c r="K26" s="56" t="s">
        <v>48</v>
      </c>
      <c r="L26" s="56" t="s">
        <v>48</v>
      </c>
      <c r="M26" s="56" t="s">
        <v>48</v>
      </c>
      <c r="N26" s="56" t="s">
        <v>48</v>
      </c>
      <c r="O26" s="56" t="s">
        <v>48</v>
      </c>
      <c r="P26" s="56" t="s">
        <v>48</v>
      </c>
      <c r="Q26" s="56" t="s">
        <v>48</v>
      </c>
      <c r="R26" s="56" t="s">
        <v>48</v>
      </c>
      <c r="S26" s="56" t="s">
        <v>48</v>
      </c>
      <c r="T26" s="56" t="s">
        <v>48</v>
      </c>
      <c r="U26" s="56" t="s">
        <v>48</v>
      </c>
      <c r="V26" s="56" t="s">
        <v>48</v>
      </c>
      <c r="W26" s="56" t="s">
        <v>48</v>
      </c>
      <c r="X26" s="56" t="s">
        <v>48</v>
      </c>
      <c r="Y26" s="56" t="s">
        <v>48</v>
      </c>
      <c r="Z26" s="56" t="s">
        <v>48</v>
      </c>
      <c r="AA26" s="56" t="s">
        <v>48</v>
      </c>
      <c r="AB26" s="56" t="s">
        <v>48</v>
      </c>
      <c r="AC26" s="56" t="s">
        <v>48</v>
      </c>
      <c r="AD26" s="56" t="s">
        <v>48</v>
      </c>
      <c r="AE26" s="56" t="s">
        <v>48</v>
      </c>
      <c r="AF26" s="56" t="s">
        <v>16</v>
      </c>
      <c r="AG26" s="56" t="s">
        <v>48</v>
      </c>
      <c r="AH26" s="56" t="s">
        <v>16</v>
      </c>
      <c r="AI26" s="56" t="s">
        <v>48</v>
      </c>
      <c r="AJ26" s="56" t="s">
        <v>48</v>
      </c>
      <c r="AK26" s="56" t="s">
        <v>48</v>
      </c>
      <c r="AL26" s="56" t="s">
        <v>48</v>
      </c>
      <c r="AM26" s="56" t="s">
        <v>48</v>
      </c>
      <c r="AN26" s="56" t="s">
        <v>48</v>
      </c>
      <c r="AO26" s="56" t="s">
        <v>48</v>
      </c>
      <c r="AP26" s="56" t="s">
        <v>16</v>
      </c>
      <c r="AQ26" s="56" t="s">
        <v>48</v>
      </c>
      <c r="AR26" s="56" t="s">
        <v>48</v>
      </c>
      <c r="AS26" s="56" t="s">
        <v>48</v>
      </c>
      <c r="AT26" s="56" t="s">
        <v>48</v>
      </c>
      <c r="AU26" s="56" t="s">
        <v>16</v>
      </c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>
        <f t="shared" si="0"/>
        <v>39</v>
      </c>
      <c r="CB26" s="52">
        <f t="shared" si="1"/>
        <v>90.697674418604649</v>
      </c>
    </row>
    <row r="27" spans="1:80" ht="17.25">
      <c r="A27" s="50">
        <v>20</v>
      </c>
      <c r="B27" s="32">
        <v>2023020</v>
      </c>
      <c r="C27" s="32" t="s">
        <v>118</v>
      </c>
      <c r="D27" s="34"/>
      <c r="E27" s="56" t="s">
        <v>48</v>
      </c>
      <c r="F27" s="56" t="s">
        <v>48</v>
      </c>
      <c r="G27" s="56" t="s">
        <v>48</v>
      </c>
      <c r="H27" s="56" t="s">
        <v>48</v>
      </c>
      <c r="I27" s="56" t="s">
        <v>48</v>
      </c>
      <c r="J27" s="56" t="s">
        <v>48</v>
      </c>
      <c r="K27" s="56" t="s">
        <v>48</v>
      </c>
      <c r="L27" s="56" t="s">
        <v>48</v>
      </c>
      <c r="M27" s="56" t="s">
        <v>48</v>
      </c>
      <c r="N27" s="56" t="s">
        <v>48</v>
      </c>
      <c r="O27" s="56" t="s">
        <v>48</v>
      </c>
      <c r="P27" s="56" t="s">
        <v>48</v>
      </c>
      <c r="Q27" s="56" t="s">
        <v>48</v>
      </c>
      <c r="R27" s="56" t="s">
        <v>48</v>
      </c>
      <c r="S27" s="56" t="s">
        <v>48</v>
      </c>
      <c r="T27" s="56" t="s">
        <v>48</v>
      </c>
      <c r="U27" s="56" t="s">
        <v>48</v>
      </c>
      <c r="V27" s="56" t="s">
        <v>48</v>
      </c>
      <c r="W27" s="56" t="s">
        <v>48</v>
      </c>
      <c r="X27" s="56" t="s">
        <v>48</v>
      </c>
      <c r="Y27" s="56" t="s">
        <v>48</v>
      </c>
      <c r="Z27" s="56" t="s">
        <v>48</v>
      </c>
      <c r="AA27" s="56" t="s">
        <v>48</v>
      </c>
      <c r="AB27" s="56" t="s">
        <v>48</v>
      </c>
      <c r="AC27" s="56" t="s">
        <v>48</v>
      </c>
      <c r="AD27" s="56" t="s">
        <v>48</v>
      </c>
      <c r="AE27" s="56" t="s">
        <v>48</v>
      </c>
      <c r="AF27" s="56" t="s">
        <v>48</v>
      </c>
      <c r="AG27" s="56" t="s">
        <v>48</v>
      </c>
      <c r="AH27" s="56" t="s">
        <v>48</v>
      </c>
      <c r="AI27" s="56" t="s">
        <v>48</v>
      </c>
      <c r="AJ27" s="56" t="s">
        <v>48</v>
      </c>
      <c r="AK27" s="56" t="s">
        <v>48</v>
      </c>
      <c r="AL27" s="56" t="s">
        <v>48</v>
      </c>
      <c r="AM27" s="56" t="s">
        <v>48</v>
      </c>
      <c r="AN27" s="56" t="s">
        <v>48</v>
      </c>
      <c r="AO27" s="56" t="s">
        <v>48</v>
      </c>
      <c r="AP27" s="56" t="s">
        <v>48</v>
      </c>
      <c r="AQ27" s="56" t="s">
        <v>48</v>
      </c>
      <c r="AR27" s="56" t="s">
        <v>48</v>
      </c>
      <c r="AS27" s="56" t="s">
        <v>48</v>
      </c>
      <c r="AT27" s="56" t="s">
        <v>48</v>
      </c>
      <c r="AU27" s="56" t="s">
        <v>48</v>
      </c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>
        <f t="shared" si="0"/>
        <v>43</v>
      </c>
      <c r="CB27" s="52">
        <f t="shared" si="1"/>
        <v>100</v>
      </c>
    </row>
    <row r="28" spans="1:80" ht="17.25">
      <c r="A28" s="50">
        <v>21</v>
      </c>
      <c r="B28" s="32">
        <v>2023021</v>
      </c>
      <c r="C28" s="32" t="s">
        <v>76</v>
      </c>
      <c r="D28" s="34"/>
      <c r="E28" s="56" t="s">
        <v>48</v>
      </c>
      <c r="F28" s="56" t="s">
        <v>48</v>
      </c>
      <c r="G28" s="56" t="s">
        <v>48</v>
      </c>
      <c r="H28" s="56" t="s">
        <v>48</v>
      </c>
      <c r="I28" s="56" t="s">
        <v>48</v>
      </c>
      <c r="J28" s="56" t="s">
        <v>48</v>
      </c>
      <c r="K28" s="56" t="s">
        <v>48</v>
      </c>
      <c r="L28" s="56" t="s">
        <v>16</v>
      </c>
      <c r="M28" s="56" t="s">
        <v>16</v>
      </c>
      <c r="N28" s="56" t="s">
        <v>48</v>
      </c>
      <c r="O28" s="56" t="s">
        <v>48</v>
      </c>
      <c r="P28" s="56" t="s">
        <v>48</v>
      </c>
      <c r="Q28" s="56" t="s">
        <v>48</v>
      </c>
      <c r="R28" s="56" t="s">
        <v>48</v>
      </c>
      <c r="S28" s="56" t="s">
        <v>48</v>
      </c>
      <c r="T28" s="56" t="s">
        <v>48</v>
      </c>
      <c r="U28" s="56" t="s">
        <v>48</v>
      </c>
      <c r="V28" s="56" t="s">
        <v>48</v>
      </c>
      <c r="W28" s="56" t="s">
        <v>48</v>
      </c>
      <c r="X28" s="56" t="s">
        <v>48</v>
      </c>
      <c r="Y28" s="56" t="s">
        <v>48</v>
      </c>
      <c r="Z28" s="56" t="s">
        <v>48</v>
      </c>
      <c r="AA28" s="56" t="s">
        <v>48</v>
      </c>
      <c r="AB28" s="56" t="s">
        <v>48</v>
      </c>
      <c r="AC28" s="56" t="s">
        <v>48</v>
      </c>
      <c r="AD28" s="56" t="s">
        <v>48</v>
      </c>
      <c r="AE28" s="56" t="s">
        <v>48</v>
      </c>
      <c r="AF28" s="56" t="s">
        <v>48</v>
      </c>
      <c r="AG28" s="56" t="s">
        <v>48</v>
      </c>
      <c r="AH28" s="56" t="s">
        <v>48</v>
      </c>
      <c r="AI28" s="56" t="s">
        <v>16</v>
      </c>
      <c r="AJ28" s="56" t="s">
        <v>48</v>
      </c>
      <c r="AK28" s="56" t="s">
        <v>48</v>
      </c>
      <c r="AL28" s="56" t="s">
        <v>48</v>
      </c>
      <c r="AM28" s="56" t="s">
        <v>48</v>
      </c>
      <c r="AN28" s="56" t="s">
        <v>48</v>
      </c>
      <c r="AO28" s="56" t="s">
        <v>48</v>
      </c>
      <c r="AP28" s="56" t="s">
        <v>48</v>
      </c>
      <c r="AQ28" s="56" t="s">
        <v>48</v>
      </c>
      <c r="AR28" s="56" t="s">
        <v>48</v>
      </c>
      <c r="AS28" s="56" t="s">
        <v>48</v>
      </c>
      <c r="AT28" s="56" t="s">
        <v>48</v>
      </c>
      <c r="AU28" s="56" t="s">
        <v>48</v>
      </c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>
        <f t="shared" si="0"/>
        <v>40</v>
      </c>
      <c r="CB28" s="52">
        <f t="shared" si="1"/>
        <v>93.023255813953483</v>
      </c>
    </row>
    <row r="29" spans="1:80" ht="17.25">
      <c r="A29" s="50">
        <v>22</v>
      </c>
      <c r="B29" s="32">
        <v>2023022</v>
      </c>
      <c r="C29" s="32" t="s">
        <v>119</v>
      </c>
      <c r="D29" s="34"/>
      <c r="E29" s="56" t="s">
        <v>16</v>
      </c>
      <c r="F29" s="56" t="s">
        <v>16</v>
      </c>
      <c r="G29" s="56" t="s">
        <v>16</v>
      </c>
      <c r="H29" s="56" t="s">
        <v>16</v>
      </c>
      <c r="I29" s="56" t="s">
        <v>48</v>
      </c>
      <c r="J29" s="56" t="s">
        <v>16</v>
      </c>
      <c r="K29" s="56" t="s">
        <v>16</v>
      </c>
      <c r="L29" s="56" t="s">
        <v>48</v>
      </c>
      <c r="M29" s="56" t="s">
        <v>48</v>
      </c>
      <c r="N29" s="56" t="s">
        <v>48</v>
      </c>
      <c r="O29" s="56" t="s">
        <v>48</v>
      </c>
      <c r="P29" s="56" t="s">
        <v>48</v>
      </c>
      <c r="Q29" s="56" t="s">
        <v>48</v>
      </c>
      <c r="R29" s="56" t="s">
        <v>16</v>
      </c>
      <c r="S29" s="56" t="s">
        <v>48</v>
      </c>
      <c r="T29" s="56" t="s">
        <v>48</v>
      </c>
      <c r="U29" s="56" t="s">
        <v>16</v>
      </c>
      <c r="V29" s="56" t="s">
        <v>48</v>
      </c>
      <c r="W29" s="56" t="s">
        <v>48</v>
      </c>
      <c r="X29" s="56" t="s">
        <v>16</v>
      </c>
      <c r="Y29" s="56" t="s">
        <v>16</v>
      </c>
      <c r="Z29" s="56" t="s">
        <v>16</v>
      </c>
      <c r="AA29" s="56" t="s">
        <v>16</v>
      </c>
      <c r="AB29" s="56" t="s">
        <v>48</v>
      </c>
      <c r="AC29" s="56" t="s">
        <v>16</v>
      </c>
      <c r="AD29" s="56" t="s">
        <v>48</v>
      </c>
      <c r="AE29" s="56" t="s">
        <v>48</v>
      </c>
      <c r="AF29" s="56" t="s">
        <v>48</v>
      </c>
      <c r="AG29" s="56" t="s">
        <v>48</v>
      </c>
      <c r="AH29" s="56" t="s">
        <v>16</v>
      </c>
      <c r="AI29" s="56" t="s">
        <v>16</v>
      </c>
      <c r="AJ29" s="56" t="s">
        <v>16</v>
      </c>
      <c r="AK29" s="56" t="s">
        <v>48</v>
      </c>
      <c r="AL29" s="56" t="s">
        <v>48</v>
      </c>
      <c r="AM29" s="56" t="s">
        <v>16</v>
      </c>
      <c r="AN29" s="56" t="s">
        <v>48</v>
      </c>
      <c r="AO29" s="56" t="s">
        <v>48</v>
      </c>
      <c r="AP29" s="56" t="s">
        <v>48</v>
      </c>
      <c r="AQ29" s="56" t="s">
        <v>48</v>
      </c>
      <c r="AR29" s="56" t="s">
        <v>48</v>
      </c>
      <c r="AS29" s="56" t="s">
        <v>48</v>
      </c>
      <c r="AT29" s="56" t="s">
        <v>48</v>
      </c>
      <c r="AU29" s="56" t="s">
        <v>48</v>
      </c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>
        <f t="shared" si="0"/>
        <v>26</v>
      </c>
      <c r="CB29" s="52">
        <f t="shared" si="1"/>
        <v>60.465116279069768</v>
      </c>
    </row>
    <row r="30" spans="1:80" ht="17.25">
      <c r="A30" s="50">
        <v>23</v>
      </c>
      <c r="B30" s="32">
        <v>2023023</v>
      </c>
      <c r="C30" s="32" t="s">
        <v>120</v>
      </c>
      <c r="D30" s="34"/>
      <c r="E30" s="56" t="s">
        <v>48</v>
      </c>
      <c r="F30" s="56" t="s">
        <v>48</v>
      </c>
      <c r="G30" s="56" t="s">
        <v>48</v>
      </c>
      <c r="H30" s="56" t="s">
        <v>48</v>
      </c>
      <c r="I30" s="56" t="s">
        <v>48</v>
      </c>
      <c r="J30" s="56" t="s">
        <v>48</v>
      </c>
      <c r="K30" s="56" t="s">
        <v>48</v>
      </c>
      <c r="L30" s="56" t="s">
        <v>48</v>
      </c>
      <c r="M30" s="56" t="s">
        <v>48</v>
      </c>
      <c r="N30" s="56" t="s">
        <v>48</v>
      </c>
      <c r="O30" s="56" t="s">
        <v>48</v>
      </c>
      <c r="P30" s="56" t="s">
        <v>48</v>
      </c>
      <c r="Q30" s="56" t="s">
        <v>48</v>
      </c>
      <c r="R30" s="56" t="s">
        <v>48</v>
      </c>
      <c r="S30" s="56" t="s">
        <v>48</v>
      </c>
      <c r="T30" s="56" t="s">
        <v>48</v>
      </c>
      <c r="U30" s="56" t="s">
        <v>48</v>
      </c>
      <c r="V30" s="56" t="s">
        <v>48</v>
      </c>
      <c r="W30" s="56" t="s">
        <v>48</v>
      </c>
      <c r="X30" s="56" t="s">
        <v>48</v>
      </c>
      <c r="Y30" s="56" t="s">
        <v>48</v>
      </c>
      <c r="Z30" s="56" t="s">
        <v>48</v>
      </c>
      <c r="AA30" s="56" t="s">
        <v>48</v>
      </c>
      <c r="AB30" s="56" t="s">
        <v>48</v>
      </c>
      <c r="AC30" s="56" t="s">
        <v>48</v>
      </c>
      <c r="AD30" s="56" t="s">
        <v>48</v>
      </c>
      <c r="AE30" s="56" t="s">
        <v>48</v>
      </c>
      <c r="AF30" s="56" t="s">
        <v>48</v>
      </c>
      <c r="AG30" s="56" t="s">
        <v>48</v>
      </c>
      <c r="AH30" s="56" t="s">
        <v>48</v>
      </c>
      <c r="AI30" s="56" t="s">
        <v>48</v>
      </c>
      <c r="AJ30" s="56" t="s">
        <v>48</v>
      </c>
      <c r="AK30" s="56" t="s">
        <v>48</v>
      </c>
      <c r="AL30" s="56" t="s">
        <v>48</v>
      </c>
      <c r="AM30" s="56" t="s">
        <v>48</v>
      </c>
      <c r="AN30" s="56" t="s">
        <v>48</v>
      </c>
      <c r="AO30" s="56" t="s">
        <v>48</v>
      </c>
      <c r="AP30" s="56" t="s">
        <v>48</v>
      </c>
      <c r="AQ30" s="56" t="s">
        <v>48</v>
      </c>
      <c r="AR30" s="56" t="s">
        <v>48</v>
      </c>
      <c r="AS30" s="56" t="s">
        <v>48</v>
      </c>
      <c r="AT30" s="56" t="s">
        <v>48</v>
      </c>
      <c r="AU30" s="56" t="s">
        <v>48</v>
      </c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>
        <f t="shared" si="0"/>
        <v>43</v>
      </c>
      <c r="CB30" s="52">
        <f t="shared" si="1"/>
        <v>100</v>
      </c>
    </row>
    <row r="31" spans="1:80" ht="17.25">
      <c r="A31" s="50">
        <v>24</v>
      </c>
      <c r="B31" s="32">
        <v>2023024</v>
      </c>
      <c r="C31" s="32" t="s">
        <v>121</v>
      </c>
      <c r="D31" s="34"/>
      <c r="E31" s="56" t="s">
        <v>16</v>
      </c>
      <c r="F31" s="56" t="s">
        <v>16</v>
      </c>
      <c r="G31" s="56" t="s">
        <v>16</v>
      </c>
      <c r="H31" s="56" t="s">
        <v>16</v>
      </c>
      <c r="I31" s="56" t="s">
        <v>16</v>
      </c>
      <c r="J31" s="56" t="s">
        <v>16</v>
      </c>
      <c r="K31" s="56" t="s">
        <v>16</v>
      </c>
      <c r="L31" s="56" t="s">
        <v>16</v>
      </c>
      <c r="M31" s="56" t="s">
        <v>16</v>
      </c>
      <c r="N31" s="56" t="s">
        <v>16</v>
      </c>
      <c r="O31" s="56" t="s">
        <v>48</v>
      </c>
      <c r="P31" s="56" t="s">
        <v>16</v>
      </c>
      <c r="Q31" s="56" t="s">
        <v>16</v>
      </c>
      <c r="R31" s="56" t="s">
        <v>16</v>
      </c>
      <c r="S31" s="56" t="s">
        <v>16</v>
      </c>
      <c r="T31" s="56" t="s">
        <v>16</v>
      </c>
      <c r="U31" s="56" t="s">
        <v>16</v>
      </c>
      <c r="V31" s="56" t="s">
        <v>16</v>
      </c>
      <c r="W31" s="56" t="s">
        <v>16</v>
      </c>
      <c r="X31" s="56" t="s">
        <v>16</v>
      </c>
      <c r="Y31" s="56" t="s">
        <v>16</v>
      </c>
      <c r="Z31" s="56" t="s">
        <v>16</v>
      </c>
      <c r="AA31" s="56" t="s">
        <v>16</v>
      </c>
      <c r="AB31" s="56" t="s">
        <v>16</v>
      </c>
      <c r="AC31" s="56" t="s">
        <v>16</v>
      </c>
      <c r="AD31" s="56" t="s">
        <v>16</v>
      </c>
      <c r="AE31" s="56" t="s">
        <v>16</v>
      </c>
      <c r="AF31" s="56" t="s">
        <v>16</v>
      </c>
      <c r="AG31" s="56" t="s">
        <v>16</v>
      </c>
      <c r="AH31" s="56" t="s">
        <v>16</v>
      </c>
      <c r="AI31" s="56" t="s">
        <v>16</v>
      </c>
      <c r="AJ31" s="56" t="s">
        <v>16</v>
      </c>
      <c r="AK31" s="56" t="s">
        <v>16</v>
      </c>
      <c r="AL31" s="56" t="s">
        <v>16</v>
      </c>
      <c r="AM31" s="56" t="s">
        <v>16</v>
      </c>
      <c r="AN31" s="56" t="s">
        <v>16</v>
      </c>
      <c r="AO31" s="56" t="s">
        <v>16</v>
      </c>
      <c r="AP31" s="56" t="s">
        <v>16</v>
      </c>
      <c r="AQ31" s="56" t="s">
        <v>16</v>
      </c>
      <c r="AR31" s="56" t="s">
        <v>16</v>
      </c>
      <c r="AS31" s="56" t="s">
        <v>16</v>
      </c>
      <c r="AT31" s="56" t="s">
        <v>16</v>
      </c>
      <c r="AU31" s="56" t="s">
        <v>16</v>
      </c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>
        <f t="shared" si="0"/>
        <v>1</v>
      </c>
      <c r="CB31" s="52">
        <f t="shared" si="1"/>
        <v>2.3255813953488373</v>
      </c>
    </row>
    <row r="32" spans="1:80" ht="17.25">
      <c r="A32" s="50">
        <v>25</v>
      </c>
      <c r="B32" s="32">
        <v>2023025</v>
      </c>
      <c r="C32" s="32" t="s">
        <v>122</v>
      </c>
      <c r="D32" s="34"/>
      <c r="E32" s="56" t="s">
        <v>48</v>
      </c>
      <c r="F32" s="56" t="s">
        <v>48</v>
      </c>
      <c r="G32" s="56" t="s">
        <v>48</v>
      </c>
      <c r="H32" s="56" t="s">
        <v>16</v>
      </c>
      <c r="I32" s="56" t="s">
        <v>48</v>
      </c>
      <c r="J32" s="56" t="s">
        <v>48</v>
      </c>
      <c r="K32" s="56" t="s">
        <v>48</v>
      </c>
      <c r="L32" s="56" t="s">
        <v>48</v>
      </c>
      <c r="M32" s="56" t="s">
        <v>48</v>
      </c>
      <c r="N32" s="56" t="s">
        <v>48</v>
      </c>
      <c r="O32" s="56" t="s">
        <v>48</v>
      </c>
      <c r="P32" s="56" t="s">
        <v>48</v>
      </c>
      <c r="Q32" s="56" t="s">
        <v>48</v>
      </c>
      <c r="R32" s="56" t="s">
        <v>48</v>
      </c>
      <c r="S32" s="56" t="s">
        <v>48</v>
      </c>
      <c r="T32" s="56" t="s">
        <v>48</v>
      </c>
      <c r="U32" s="56" t="s">
        <v>48</v>
      </c>
      <c r="V32" s="56" t="s">
        <v>48</v>
      </c>
      <c r="W32" s="56" t="s">
        <v>48</v>
      </c>
      <c r="X32" s="56" t="s">
        <v>48</v>
      </c>
      <c r="Y32" s="56" t="s">
        <v>48</v>
      </c>
      <c r="Z32" s="56" t="s">
        <v>48</v>
      </c>
      <c r="AA32" s="56" t="s">
        <v>48</v>
      </c>
      <c r="AB32" s="56" t="s">
        <v>48</v>
      </c>
      <c r="AC32" s="56" t="s">
        <v>48</v>
      </c>
      <c r="AD32" s="56" t="s">
        <v>48</v>
      </c>
      <c r="AE32" s="56" t="s">
        <v>48</v>
      </c>
      <c r="AF32" s="56" t="s">
        <v>48</v>
      </c>
      <c r="AG32" s="56" t="s">
        <v>48</v>
      </c>
      <c r="AH32" s="56" t="s">
        <v>48</v>
      </c>
      <c r="AI32" s="56" t="s">
        <v>48</v>
      </c>
      <c r="AJ32" s="56" t="s">
        <v>48</v>
      </c>
      <c r="AK32" s="56" t="s">
        <v>48</v>
      </c>
      <c r="AL32" s="56" t="s">
        <v>48</v>
      </c>
      <c r="AM32" s="56" t="s">
        <v>48</v>
      </c>
      <c r="AN32" s="56" t="s">
        <v>48</v>
      </c>
      <c r="AO32" s="56" t="s">
        <v>48</v>
      </c>
      <c r="AP32" s="56" t="s">
        <v>48</v>
      </c>
      <c r="AQ32" s="56" t="s">
        <v>48</v>
      </c>
      <c r="AR32" s="56" t="s">
        <v>48</v>
      </c>
      <c r="AS32" s="56" t="s">
        <v>48</v>
      </c>
      <c r="AT32" s="56" t="s">
        <v>48</v>
      </c>
      <c r="AU32" s="56" t="s">
        <v>48</v>
      </c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>
        <f t="shared" si="0"/>
        <v>42</v>
      </c>
      <c r="CB32" s="52">
        <f t="shared" si="1"/>
        <v>97.674418604651166</v>
      </c>
    </row>
    <row r="33" spans="1:80" ht="17.25">
      <c r="A33" s="50">
        <v>26</v>
      </c>
      <c r="B33" s="32">
        <v>2023026</v>
      </c>
      <c r="C33" s="32" t="s">
        <v>77</v>
      </c>
      <c r="D33" s="34"/>
      <c r="E33" s="56" t="s">
        <v>48</v>
      </c>
      <c r="F33" s="56" t="s">
        <v>48</v>
      </c>
      <c r="G33" s="56" t="s">
        <v>48</v>
      </c>
      <c r="H33" s="56" t="s">
        <v>48</v>
      </c>
      <c r="I33" s="56" t="s">
        <v>48</v>
      </c>
      <c r="J33" s="56" t="s">
        <v>48</v>
      </c>
      <c r="K33" s="56" t="s">
        <v>48</v>
      </c>
      <c r="L33" s="56" t="s">
        <v>48</v>
      </c>
      <c r="M33" s="56" t="s">
        <v>48</v>
      </c>
      <c r="N33" s="56" t="s">
        <v>48</v>
      </c>
      <c r="O33" s="56" t="s">
        <v>48</v>
      </c>
      <c r="P33" s="56" t="s">
        <v>48</v>
      </c>
      <c r="Q33" s="56" t="s">
        <v>48</v>
      </c>
      <c r="R33" s="56" t="s">
        <v>48</v>
      </c>
      <c r="S33" s="56" t="s">
        <v>48</v>
      </c>
      <c r="T33" s="56" t="s">
        <v>48</v>
      </c>
      <c r="U33" s="56" t="s">
        <v>48</v>
      </c>
      <c r="V33" s="56" t="s">
        <v>48</v>
      </c>
      <c r="W33" s="56" t="s">
        <v>16</v>
      </c>
      <c r="X33" s="56" t="s">
        <v>48</v>
      </c>
      <c r="Y33" s="56" t="s">
        <v>48</v>
      </c>
      <c r="Z33" s="56" t="s">
        <v>48</v>
      </c>
      <c r="AA33" s="56" t="s">
        <v>48</v>
      </c>
      <c r="AB33" s="56" t="s">
        <v>48</v>
      </c>
      <c r="AC33" s="56" t="s">
        <v>48</v>
      </c>
      <c r="AD33" s="56" t="s">
        <v>48</v>
      </c>
      <c r="AE33" s="56" t="s">
        <v>48</v>
      </c>
      <c r="AF33" s="56" t="s">
        <v>48</v>
      </c>
      <c r="AG33" s="56" t="s">
        <v>48</v>
      </c>
      <c r="AH33" s="56" t="s">
        <v>48</v>
      </c>
      <c r="AI33" s="56" t="s">
        <v>48</v>
      </c>
      <c r="AJ33" s="56" t="s">
        <v>48</v>
      </c>
      <c r="AK33" s="56" t="s">
        <v>48</v>
      </c>
      <c r="AL33" s="56" t="s">
        <v>48</v>
      </c>
      <c r="AM33" s="56" t="s">
        <v>48</v>
      </c>
      <c r="AN33" s="56" t="s">
        <v>48</v>
      </c>
      <c r="AO33" s="56" t="s">
        <v>48</v>
      </c>
      <c r="AP33" s="56" t="s">
        <v>48</v>
      </c>
      <c r="AQ33" s="56" t="s">
        <v>48</v>
      </c>
      <c r="AR33" s="56" t="s">
        <v>48</v>
      </c>
      <c r="AS33" s="56" t="s">
        <v>48</v>
      </c>
      <c r="AT33" s="56" t="s">
        <v>48</v>
      </c>
      <c r="AU33" s="56" t="s">
        <v>48</v>
      </c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>
        <f t="shared" si="0"/>
        <v>42</v>
      </c>
      <c r="CB33" s="52">
        <f t="shared" si="1"/>
        <v>97.674418604651166</v>
      </c>
    </row>
    <row r="34" spans="1:80" ht="17.25">
      <c r="A34" s="50">
        <v>27</v>
      </c>
      <c r="B34" s="32">
        <v>2023027</v>
      </c>
      <c r="C34" s="32" t="s">
        <v>123</v>
      </c>
      <c r="D34" s="34"/>
      <c r="E34" s="56" t="s">
        <v>16</v>
      </c>
      <c r="F34" s="56" t="s">
        <v>16</v>
      </c>
      <c r="G34" s="56" t="s">
        <v>16</v>
      </c>
      <c r="H34" s="56" t="s">
        <v>16</v>
      </c>
      <c r="I34" s="56" t="s">
        <v>16</v>
      </c>
      <c r="J34" s="56" t="s">
        <v>16</v>
      </c>
      <c r="K34" s="56" t="s">
        <v>16</v>
      </c>
      <c r="L34" s="56" t="s">
        <v>16</v>
      </c>
      <c r="M34" s="56" t="s">
        <v>48</v>
      </c>
      <c r="N34" s="56" t="s">
        <v>48</v>
      </c>
      <c r="O34" s="56" t="s">
        <v>48</v>
      </c>
      <c r="P34" s="56" t="s">
        <v>16</v>
      </c>
      <c r="Q34" s="56" t="s">
        <v>16</v>
      </c>
      <c r="R34" s="56" t="s">
        <v>16</v>
      </c>
      <c r="S34" s="56" t="s">
        <v>48</v>
      </c>
      <c r="T34" s="56" t="s">
        <v>16</v>
      </c>
      <c r="U34" s="56" t="s">
        <v>48</v>
      </c>
      <c r="V34" s="56" t="s">
        <v>48</v>
      </c>
      <c r="W34" s="56" t="s">
        <v>48</v>
      </c>
      <c r="X34" s="56" t="s">
        <v>48</v>
      </c>
      <c r="Y34" s="56" t="s">
        <v>48</v>
      </c>
      <c r="Z34" s="56" t="s">
        <v>48</v>
      </c>
      <c r="AA34" s="56" t="s">
        <v>48</v>
      </c>
      <c r="AB34" s="56" t="s">
        <v>48</v>
      </c>
      <c r="AC34" s="56" t="s">
        <v>16</v>
      </c>
      <c r="AD34" s="56" t="s">
        <v>48</v>
      </c>
      <c r="AE34" s="56" t="s">
        <v>16</v>
      </c>
      <c r="AF34" s="56" t="s">
        <v>48</v>
      </c>
      <c r="AG34" s="56" t="s">
        <v>48</v>
      </c>
      <c r="AH34" s="56" t="s">
        <v>48</v>
      </c>
      <c r="AI34" s="56" t="s">
        <v>48</v>
      </c>
      <c r="AJ34" s="56" t="s">
        <v>48</v>
      </c>
      <c r="AK34" s="56" t="s">
        <v>48</v>
      </c>
      <c r="AL34" s="56" t="s">
        <v>48</v>
      </c>
      <c r="AM34" s="56" t="s">
        <v>16</v>
      </c>
      <c r="AN34" s="56" t="s">
        <v>48</v>
      </c>
      <c r="AO34" s="56" t="s">
        <v>48</v>
      </c>
      <c r="AP34" s="56" t="s">
        <v>48</v>
      </c>
      <c r="AQ34" s="56" t="s">
        <v>48</v>
      </c>
      <c r="AR34" s="56" t="s">
        <v>48</v>
      </c>
      <c r="AS34" s="56" t="s">
        <v>48</v>
      </c>
      <c r="AT34" s="56" t="s">
        <v>48</v>
      </c>
      <c r="AU34" s="56" t="s">
        <v>48</v>
      </c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>
        <f t="shared" si="0"/>
        <v>28</v>
      </c>
      <c r="CB34" s="52">
        <f t="shared" si="1"/>
        <v>65.116279069767444</v>
      </c>
    </row>
    <row r="35" spans="1:80" ht="17.25">
      <c r="A35" s="50">
        <v>28</v>
      </c>
      <c r="B35" s="32">
        <v>2023028</v>
      </c>
      <c r="C35" s="32" t="s">
        <v>124</v>
      </c>
      <c r="D35" s="34"/>
      <c r="E35" s="56" t="s">
        <v>48</v>
      </c>
      <c r="F35" s="56" t="s">
        <v>48</v>
      </c>
      <c r="G35" s="56" t="s">
        <v>48</v>
      </c>
      <c r="H35" s="56" t="s">
        <v>48</v>
      </c>
      <c r="I35" s="56" t="s">
        <v>48</v>
      </c>
      <c r="J35" s="56" t="s">
        <v>48</v>
      </c>
      <c r="K35" s="56" t="s">
        <v>48</v>
      </c>
      <c r="L35" s="56" t="s">
        <v>48</v>
      </c>
      <c r="M35" s="56" t="s">
        <v>48</v>
      </c>
      <c r="N35" s="56" t="s">
        <v>48</v>
      </c>
      <c r="O35" s="56" t="s">
        <v>48</v>
      </c>
      <c r="P35" s="56" t="s">
        <v>48</v>
      </c>
      <c r="Q35" s="56" t="s">
        <v>48</v>
      </c>
      <c r="R35" s="56" t="s">
        <v>48</v>
      </c>
      <c r="S35" s="56" t="s">
        <v>48</v>
      </c>
      <c r="T35" s="56" t="s">
        <v>48</v>
      </c>
      <c r="U35" s="56" t="s">
        <v>48</v>
      </c>
      <c r="V35" s="56" t="s">
        <v>48</v>
      </c>
      <c r="W35" s="56" t="s">
        <v>48</v>
      </c>
      <c r="X35" s="56" t="s">
        <v>48</v>
      </c>
      <c r="Y35" s="56" t="s">
        <v>48</v>
      </c>
      <c r="Z35" s="56" t="s">
        <v>48</v>
      </c>
      <c r="AA35" s="56" t="s">
        <v>48</v>
      </c>
      <c r="AB35" s="56" t="s">
        <v>48</v>
      </c>
      <c r="AC35" s="56" t="s">
        <v>48</v>
      </c>
      <c r="AD35" s="56" t="s">
        <v>48</v>
      </c>
      <c r="AE35" s="56" t="s">
        <v>48</v>
      </c>
      <c r="AF35" s="56" t="s">
        <v>48</v>
      </c>
      <c r="AG35" s="56" t="s">
        <v>48</v>
      </c>
      <c r="AH35" s="56" t="s">
        <v>48</v>
      </c>
      <c r="AI35" s="56" t="s">
        <v>48</v>
      </c>
      <c r="AJ35" s="56" t="s">
        <v>48</v>
      </c>
      <c r="AK35" s="56" t="s">
        <v>48</v>
      </c>
      <c r="AL35" s="56" t="s">
        <v>48</v>
      </c>
      <c r="AM35" s="56" t="s">
        <v>48</v>
      </c>
      <c r="AN35" s="56" t="s">
        <v>48</v>
      </c>
      <c r="AO35" s="56" t="s">
        <v>48</v>
      </c>
      <c r="AP35" s="56" t="s">
        <v>48</v>
      </c>
      <c r="AQ35" s="56" t="s">
        <v>48</v>
      </c>
      <c r="AR35" s="56" t="s">
        <v>48</v>
      </c>
      <c r="AS35" s="56" t="s">
        <v>48</v>
      </c>
      <c r="AT35" s="56" t="s">
        <v>48</v>
      </c>
      <c r="AU35" s="56" t="s">
        <v>48</v>
      </c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>
        <f t="shared" si="0"/>
        <v>43</v>
      </c>
      <c r="CB35" s="52">
        <f t="shared" si="1"/>
        <v>100</v>
      </c>
    </row>
    <row r="36" spans="1:80" ht="17.25">
      <c r="A36" s="50">
        <v>29</v>
      </c>
      <c r="B36" s="32">
        <v>2023029</v>
      </c>
      <c r="C36" s="32" t="s">
        <v>125</v>
      </c>
      <c r="D36" s="34"/>
      <c r="E36" s="56" t="s">
        <v>48</v>
      </c>
      <c r="F36" s="56" t="s">
        <v>48</v>
      </c>
      <c r="G36" s="56" t="s">
        <v>16</v>
      </c>
      <c r="H36" s="56" t="s">
        <v>16</v>
      </c>
      <c r="I36" s="56" t="s">
        <v>16</v>
      </c>
      <c r="J36" s="56" t="s">
        <v>16</v>
      </c>
      <c r="K36" s="56" t="s">
        <v>16</v>
      </c>
      <c r="L36" s="56" t="s">
        <v>16</v>
      </c>
      <c r="M36" s="56" t="s">
        <v>16</v>
      </c>
      <c r="N36" s="56" t="s">
        <v>16</v>
      </c>
      <c r="O36" s="56" t="s">
        <v>16</v>
      </c>
      <c r="P36" s="56" t="s">
        <v>16</v>
      </c>
      <c r="Q36" s="56" t="s">
        <v>16</v>
      </c>
      <c r="R36" s="56" t="s">
        <v>16</v>
      </c>
      <c r="S36" s="56" t="s">
        <v>16</v>
      </c>
      <c r="T36" s="56" t="s">
        <v>16</v>
      </c>
      <c r="U36" s="56" t="s">
        <v>16</v>
      </c>
      <c r="V36" s="56" t="s">
        <v>16</v>
      </c>
      <c r="W36" s="56" t="s">
        <v>16</v>
      </c>
      <c r="X36" s="56" t="s">
        <v>16</v>
      </c>
      <c r="Y36" s="56" t="s">
        <v>16</v>
      </c>
      <c r="Z36" s="56" t="s">
        <v>16</v>
      </c>
      <c r="AA36" s="56" t="s">
        <v>16</v>
      </c>
      <c r="AB36" s="56" t="s">
        <v>16</v>
      </c>
      <c r="AC36" s="56" t="s">
        <v>16</v>
      </c>
      <c r="AD36" s="56" t="s">
        <v>16</v>
      </c>
      <c r="AE36" s="56" t="s">
        <v>16</v>
      </c>
      <c r="AF36" s="56" t="s">
        <v>16</v>
      </c>
      <c r="AG36" s="56" t="s">
        <v>16</v>
      </c>
      <c r="AH36" s="56" t="s">
        <v>16</v>
      </c>
      <c r="AI36" s="56" t="s">
        <v>16</v>
      </c>
      <c r="AJ36" s="56" t="s">
        <v>16</v>
      </c>
      <c r="AK36" s="56" t="s">
        <v>16</v>
      </c>
      <c r="AL36" s="56" t="s">
        <v>16</v>
      </c>
      <c r="AM36" s="56" t="s">
        <v>16</v>
      </c>
      <c r="AN36" s="56" t="s">
        <v>16</v>
      </c>
      <c r="AO36" s="56" t="s">
        <v>16</v>
      </c>
      <c r="AP36" s="56" t="s">
        <v>16</v>
      </c>
      <c r="AQ36" s="56" t="s">
        <v>16</v>
      </c>
      <c r="AR36" s="56" t="s">
        <v>16</v>
      </c>
      <c r="AS36" s="56" t="s">
        <v>16</v>
      </c>
      <c r="AT36" s="56" t="s">
        <v>16</v>
      </c>
      <c r="AU36" s="56" t="s">
        <v>16</v>
      </c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>
        <f t="shared" si="0"/>
        <v>2</v>
      </c>
      <c r="CB36" s="52">
        <f t="shared" si="1"/>
        <v>4.6511627906976747</v>
      </c>
    </row>
    <row r="37" spans="1:80" ht="17.25">
      <c r="A37" s="50">
        <v>30</v>
      </c>
      <c r="B37" s="32">
        <v>2023030</v>
      </c>
      <c r="C37" s="32" t="s">
        <v>126</v>
      </c>
      <c r="D37" s="34"/>
      <c r="E37" s="56" t="s">
        <v>48</v>
      </c>
      <c r="F37" s="56" t="s">
        <v>48</v>
      </c>
      <c r="G37" s="56" t="s">
        <v>48</v>
      </c>
      <c r="H37" s="56" t="s">
        <v>48</v>
      </c>
      <c r="I37" s="56" t="s">
        <v>48</v>
      </c>
      <c r="J37" s="56" t="s">
        <v>48</v>
      </c>
      <c r="K37" s="56" t="s">
        <v>48</v>
      </c>
      <c r="L37" s="56" t="s">
        <v>48</v>
      </c>
      <c r="M37" s="56" t="s">
        <v>48</v>
      </c>
      <c r="N37" s="56" t="s">
        <v>48</v>
      </c>
      <c r="O37" s="56" t="s">
        <v>48</v>
      </c>
      <c r="P37" s="56" t="s">
        <v>48</v>
      </c>
      <c r="Q37" s="56" t="s">
        <v>48</v>
      </c>
      <c r="R37" s="56" t="s">
        <v>48</v>
      </c>
      <c r="S37" s="56" t="s">
        <v>48</v>
      </c>
      <c r="T37" s="56" t="s">
        <v>48</v>
      </c>
      <c r="U37" s="56" t="s">
        <v>48</v>
      </c>
      <c r="V37" s="56" t="s">
        <v>48</v>
      </c>
      <c r="W37" s="56" t="s">
        <v>48</v>
      </c>
      <c r="X37" s="56" t="s">
        <v>48</v>
      </c>
      <c r="Y37" s="56" t="s">
        <v>16</v>
      </c>
      <c r="Z37" s="56" t="s">
        <v>16</v>
      </c>
      <c r="AA37" s="56" t="s">
        <v>16</v>
      </c>
      <c r="AB37" s="56" t="s">
        <v>48</v>
      </c>
      <c r="AC37" s="56" t="s">
        <v>48</v>
      </c>
      <c r="AD37" s="56" t="s">
        <v>48</v>
      </c>
      <c r="AE37" s="56" t="s">
        <v>48</v>
      </c>
      <c r="AF37" s="56" t="s">
        <v>48</v>
      </c>
      <c r="AG37" s="56" t="s">
        <v>16</v>
      </c>
      <c r="AH37" s="56" t="s">
        <v>48</v>
      </c>
      <c r="AI37" s="56" t="s">
        <v>48</v>
      </c>
      <c r="AJ37" s="56" t="s">
        <v>16</v>
      </c>
      <c r="AK37" s="56" t="s">
        <v>48</v>
      </c>
      <c r="AL37" s="56" t="s">
        <v>48</v>
      </c>
      <c r="AM37" s="56" t="s">
        <v>48</v>
      </c>
      <c r="AN37" s="56" t="s">
        <v>48</v>
      </c>
      <c r="AO37" s="56" t="s">
        <v>48</v>
      </c>
      <c r="AP37" s="56" t="s">
        <v>48</v>
      </c>
      <c r="AQ37" s="56" t="s">
        <v>16</v>
      </c>
      <c r="AR37" s="56" t="s">
        <v>48</v>
      </c>
      <c r="AS37" s="56" t="s">
        <v>48</v>
      </c>
      <c r="AT37" s="56" t="s">
        <v>48</v>
      </c>
      <c r="AU37" s="56" t="s">
        <v>48</v>
      </c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>
        <f t="shared" si="0"/>
        <v>37</v>
      </c>
      <c r="CB37" s="52">
        <f t="shared" si="1"/>
        <v>86.04651162790698</v>
      </c>
    </row>
    <row r="38" spans="1:80" ht="17.25">
      <c r="A38" s="50">
        <v>31</v>
      </c>
      <c r="B38" s="32">
        <v>2023031</v>
      </c>
      <c r="C38" s="32" t="s">
        <v>127</v>
      </c>
      <c r="D38" s="34"/>
      <c r="E38" s="56" t="s">
        <v>48</v>
      </c>
      <c r="F38" s="56" t="s">
        <v>48</v>
      </c>
      <c r="G38" s="56" t="s">
        <v>48</v>
      </c>
      <c r="H38" s="56" t="s">
        <v>48</v>
      </c>
      <c r="I38" s="56" t="s">
        <v>48</v>
      </c>
      <c r="J38" s="56" t="s">
        <v>48</v>
      </c>
      <c r="K38" s="56" t="s">
        <v>48</v>
      </c>
      <c r="L38" s="56" t="s">
        <v>48</v>
      </c>
      <c r="M38" s="56" t="s">
        <v>48</v>
      </c>
      <c r="N38" s="56" t="s">
        <v>48</v>
      </c>
      <c r="O38" s="56" t="s">
        <v>48</v>
      </c>
      <c r="P38" s="56" t="s">
        <v>48</v>
      </c>
      <c r="Q38" s="56" t="s">
        <v>48</v>
      </c>
      <c r="R38" s="56" t="s">
        <v>48</v>
      </c>
      <c r="S38" s="56" t="s">
        <v>48</v>
      </c>
      <c r="T38" s="56" t="s">
        <v>48</v>
      </c>
      <c r="U38" s="56" t="s">
        <v>48</v>
      </c>
      <c r="V38" s="56" t="s">
        <v>48</v>
      </c>
      <c r="W38" s="56" t="s">
        <v>48</v>
      </c>
      <c r="X38" s="56" t="s">
        <v>48</v>
      </c>
      <c r="Y38" s="56" t="s">
        <v>48</v>
      </c>
      <c r="Z38" s="56" t="s">
        <v>48</v>
      </c>
      <c r="AA38" s="56" t="s">
        <v>16</v>
      </c>
      <c r="AB38" s="56" t="s">
        <v>48</v>
      </c>
      <c r="AC38" s="56" t="s">
        <v>48</v>
      </c>
      <c r="AD38" s="56" t="s">
        <v>48</v>
      </c>
      <c r="AE38" s="56" t="s">
        <v>16</v>
      </c>
      <c r="AF38" s="56" t="s">
        <v>48</v>
      </c>
      <c r="AG38" s="56" t="s">
        <v>48</v>
      </c>
      <c r="AH38" s="56" t="s">
        <v>48</v>
      </c>
      <c r="AI38" s="56" t="s">
        <v>48</v>
      </c>
      <c r="AJ38" s="56" t="s">
        <v>48</v>
      </c>
      <c r="AK38" s="56" t="s">
        <v>48</v>
      </c>
      <c r="AL38" s="56" t="s">
        <v>48</v>
      </c>
      <c r="AM38" s="56" t="s">
        <v>48</v>
      </c>
      <c r="AN38" s="56" t="s">
        <v>48</v>
      </c>
      <c r="AO38" s="56" t="s">
        <v>48</v>
      </c>
      <c r="AP38" s="56" t="s">
        <v>48</v>
      </c>
      <c r="AQ38" s="56" t="s">
        <v>48</v>
      </c>
      <c r="AR38" s="56" t="s">
        <v>48</v>
      </c>
      <c r="AS38" s="56" t="s">
        <v>48</v>
      </c>
      <c r="AT38" s="56" t="s">
        <v>48</v>
      </c>
      <c r="AU38" s="56" t="s">
        <v>48</v>
      </c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>
        <f t="shared" si="0"/>
        <v>41</v>
      </c>
      <c r="CB38" s="52">
        <f t="shared" si="1"/>
        <v>95.348837209302332</v>
      </c>
    </row>
    <row r="39" spans="1:80" ht="17.25">
      <c r="A39" s="50">
        <v>32</v>
      </c>
      <c r="B39" s="32">
        <v>2023032</v>
      </c>
      <c r="C39" s="32" t="s">
        <v>128</v>
      </c>
      <c r="D39" s="34"/>
      <c r="E39" s="56" t="s">
        <v>48</v>
      </c>
      <c r="F39" s="56" t="s">
        <v>48</v>
      </c>
      <c r="G39" s="56" t="s">
        <v>48</v>
      </c>
      <c r="H39" s="56" t="s">
        <v>48</v>
      </c>
      <c r="I39" s="56" t="s">
        <v>48</v>
      </c>
      <c r="J39" s="56" t="s">
        <v>48</v>
      </c>
      <c r="K39" s="56" t="s">
        <v>48</v>
      </c>
      <c r="L39" s="56" t="s">
        <v>48</v>
      </c>
      <c r="M39" s="56" t="s">
        <v>48</v>
      </c>
      <c r="N39" s="56" t="s">
        <v>48</v>
      </c>
      <c r="O39" s="56" t="s">
        <v>48</v>
      </c>
      <c r="P39" s="56" t="s">
        <v>48</v>
      </c>
      <c r="Q39" s="56" t="s">
        <v>48</v>
      </c>
      <c r="R39" s="56" t="s">
        <v>48</v>
      </c>
      <c r="S39" s="56" t="s">
        <v>48</v>
      </c>
      <c r="T39" s="56" t="s">
        <v>48</v>
      </c>
      <c r="U39" s="56" t="s">
        <v>48</v>
      </c>
      <c r="V39" s="56" t="s">
        <v>48</v>
      </c>
      <c r="W39" s="56" t="s">
        <v>48</v>
      </c>
      <c r="X39" s="56" t="s">
        <v>48</v>
      </c>
      <c r="Y39" s="56" t="s">
        <v>48</v>
      </c>
      <c r="Z39" s="56" t="s">
        <v>48</v>
      </c>
      <c r="AA39" s="56" t="s">
        <v>48</v>
      </c>
      <c r="AB39" s="56" t="s">
        <v>48</v>
      </c>
      <c r="AC39" s="56" t="s">
        <v>48</v>
      </c>
      <c r="AD39" s="56" t="s">
        <v>48</v>
      </c>
      <c r="AE39" s="56" t="s">
        <v>48</v>
      </c>
      <c r="AF39" s="56" t="s">
        <v>48</v>
      </c>
      <c r="AG39" s="56" t="s">
        <v>48</v>
      </c>
      <c r="AH39" s="56" t="s">
        <v>48</v>
      </c>
      <c r="AI39" s="56" t="s">
        <v>48</v>
      </c>
      <c r="AJ39" s="56" t="s">
        <v>48</v>
      </c>
      <c r="AK39" s="56" t="s">
        <v>48</v>
      </c>
      <c r="AL39" s="56" t="s">
        <v>48</v>
      </c>
      <c r="AM39" s="56" t="s">
        <v>48</v>
      </c>
      <c r="AN39" s="56" t="s">
        <v>48</v>
      </c>
      <c r="AO39" s="56" t="s">
        <v>48</v>
      </c>
      <c r="AP39" s="56" t="s">
        <v>48</v>
      </c>
      <c r="AQ39" s="56" t="s">
        <v>48</v>
      </c>
      <c r="AR39" s="56" t="s">
        <v>48</v>
      </c>
      <c r="AS39" s="56" t="s">
        <v>48</v>
      </c>
      <c r="AT39" s="56" t="s">
        <v>48</v>
      </c>
      <c r="AU39" s="56" t="s">
        <v>48</v>
      </c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>
        <f t="shared" si="0"/>
        <v>43</v>
      </c>
      <c r="CB39" s="52">
        <f t="shared" si="1"/>
        <v>100</v>
      </c>
    </row>
    <row r="40" spans="1:80" ht="17.25">
      <c r="A40" s="50">
        <v>33</v>
      </c>
      <c r="B40" s="32">
        <v>2023033</v>
      </c>
      <c r="C40" s="32" t="s">
        <v>78</v>
      </c>
      <c r="D40" s="34"/>
      <c r="E40" s="56" t="s">
        <v>16</v>
      </c>
      <c r="F40" s="56" t="s">
        <v>48</v>
      </c>
      <c r="G40" s="56" t="s">
        <v>48</v>
      </c>
      <c r="H40" s="56" t="s">
        <v>48</v>
      </c>
      <c r="I40" s="56" t="s">
        <v>48</v>
      </c>
      <c r="J40" s="56" t="s">
        <v>48</v>
      </c>
      <c r="K40" s="56" t="s">
        <v>48</v>
      </c>
      <c r="L40" s="56" t="s">
        <v>48</v>
      </c>
      <c r="M40" s="56" t="s">
        <v>48</v>
      </c>
      <c r="N40" s="56" t="s">
        <v>48</v>
      </c>
      <c r="O40" s="56" t="s">
        <v>48</v>
      </c>
      <c r="P40" s="56" t="s">
        <v>16</v>
      </c>
      <c r="Q40" s="56" t="s">
        <v>48</v>
      </c>
      <c r="R40" s="56" t="s">
        <v>48</v>
      </c>
      <c r="S40" s="56" t="s">
        <v>48</v>
      </c>
      <c r="T40" s="56" t="s">
        <v>48</v>
      </c>
      <c r="U40" s="56" t="s">
        <v>16</v>
      </c>
      <c r="V40" s="56" t="s">
        <v>48</v>
      </c>
      <c r="W40" s="56" t="s">
        <v>48</v>
      </c>
      <c r="X40" s="56" t="s">
        <v>48</v>
      </c>
      <c r="Y40" s="56" t="s">
        <v>48</v>
      </c>
      <c r="Z40" s="56" t="s">
        <v>48</v>
      </c>
      <c r="AA40" s="56" t="s">
        <v>16</v>
      </c>
      <c r="AB40" s="56" t="s">
        <v>48</v>
      </c>
      <c r="AC40" s="56" t="s">
        <v>48</v>
      </c>
      <c r="AD40" s="56" t="s">
        <v>48</v>
      </c>
      <c r="AE40" s="56" t="s">
        <v>48</v>
      </c>
      <c r="AF40" s="56" t="s">
        <v>48</v>
      </c>
      <c r="AG40" s="56" t="s">
        <v>48</v>
      </c>
      <c r="AH40" s="56" t="s">
        <v>48</v>
      </c>
      <c r="AI40" s="56" t="s">
        <v>48</v>
      </c>
      <c r="AJ40" s="56" t="s">
        <v>48</v>
      </c>
      <c r="AK40" s="56" t="s">
        <v>48</v>
      </c>
      <c r="AL40" s="56" t="s">
        <v>48</v>
      </c>
      <c r="AM40" s="56" t="s">
        <v>48</v>
      </c>
      <c r="AN40" s="56" t="s">
        <v>48</v>
      </c>
      <c r="AO40" s="56" t="s">
        <v>48</v>
      </c>
      <c r="AP40" s="56" t="s">
        <v>48</v>
      </c>
      <c r="AQ40" s="56" t="s">
        <v>48</v>
      </c>
      <c r="AR40" s="56" t="s">
        <v>48</v>
      </c>
      <c r="AS40" s="56" t="s">
        <v>48</v>
      </c>
      <c r="AT40" s="56" t="s">
        <v>48</v>
      </c>
      <c r="AU40" s="56" t="s">
        <v>48</v>
      </c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>
        <f t="shared" ref="CA40:CA71" si="2">COUNTIF(E40:AU40,"P")</f>
        <v>39</v>
      </c>
      <c r="CB40" s="52">
        <f t="shared" si="1"/>
        <v>90.697674418604649</v>
      </c>
    </row>
    <row r="41" spans="1:80" ht="17.25">
      <c r="A41" s="50">
        <v>34</v>
      </c>
      <c r="B41" s="32">
        <v>2023034</v>
      </c>
      <c r="C41" s="32" t="s">
        <v>79</v>
      </c>
      <c r="D41" s="34"/>
      <c r="E41" s="56" t="s">
        <v>48</v>
      </c>
      <c r="F41" s="56" t="s">
        <v>48</v>
      </c>
      <c r="G41" s="56" t="s">
        <v>48</v>
      </c>
      <c r="H41" s="56" t="s">
        <v>48</v>
      </c>
      <c r="I41" s="56" t="s">
        <v>48</v>
      </c>
      <c r="J41" s="56" t="s">
        <v>48</v>
      </c>
      <c r="K41" s="56" t="s">
        <v>48</v>
      </c>
      <c r="L41" s="56" t="s">
        <v>48</v>
      </c>
      <c r="M41" s="56" t="s">
        <v>48</v>
      </c>
      <c r="N41" s="56" t="s">
        <v>48</v>
      </c>
      <c r="O41" s="56" t="s">
        <v>48</v>
      </c>
      <c r="P41" s="56" t="s">
        <v>48</v>
      </c>
      <c r="Q41" s="56" t="s">
        <v>48</v>
      </c>
      <c r="R41" s="56" t="s">
        <v>48</v>
      </c>
      <c r="S41" s="56" t="s">
        <v>48</v>
      </c>
      <c r="T41" s="56" t="s">
        <v>48</v>
      </c>
      <c r="U41" s="56" t="s">
        <v>48</v>
      </c>
      <c r="V41" s="56" t="s">
        <v>48</v>
      </c>
      <c r="W41" s="56" t="s">
        <v>48</v>
      </c>
      <c r="X41" s="56" t="s">
        <v>48</v>
      </c>
      <c r="Y41" s="56" t="s">
        <v>48</v>
      </c>
      <c r="Z41" s="56" t="s">
        <v>48</v>
      </c>
      <c r="AA41" s="56" t="s">
        <v>48</v>
      </c>
      <c r="AB41" s="56" t="s">
        <v>48</v>
      </c>
      <c r="AC41" s="56" t="s">
        <v>48</v>
      </c>
      <c r="AD41" s="56" t="s">
        <v>48</v>
      </c>
      <c r="AE41" s="56" t="s">
        <v>48</v>
      </c>
      <c r="AF41" s="56" t="s">
        <v>48</v>
      </c>
      <c r="AG41" s="56" t="s">
        <v>48</v>
      </c>
      <c r="AH41" s="56" t="s">
        <v>16</v>
      </c>
      <c r="AI41" s="56" t="s">
        <v>48</v>
      </c>
      <c r="AJ41" s="56" t="s">
        <v>48</v>
      </c>
      <c r="AK41" s="56" t="s">
        <v>48</v>
      </c>
      <c r="AL41" s="56" t="s">
        <v>48</v>
      </c>
      <c r="AM41" s="56" t="s">
        <v>16</v>
      </c>
      <c r="AN41" s="56" t="s">
        <v>48</v>
      </c>
      <c r="AO41" s="56" t="s">
        <v>48</v>
      </c>
      <c r="AP41" s="56" t="s">
        <v>48</v>
      </c>
      <c r="AQ41" s="56" t="s">
        <v>48</v>
      </c>
      <c r="AR41" s="56" t="s">
        <v>48</v>
      </c>
      <c r="AS41" s="56" t="s">
        <v>48</v>
      </c>
      <c r="AT41" s="56" t="s">
        <v>48</v>
      </c>
      <c r="AU41" s="56" t="s">
        <v>48</v>
      </c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>
        <f t="shared" si="2"/>
        <v>41</v>
      </c>
      <c r="CB41" s="52">
        <f t="shared" si="1"/>
        <v>95.348837209302332</v>
      </c>
    </row>
    <row r="42" spans="1:80" ht="17.25">
      <c r="A42" s="50">
        <v>35</v>
      </c>
      <c r="B42" s="32">
        <v>2023035</v>
      </c>
      <c r="C42" s="32" t="s">
        <v>129</v>
      </c>
      <c r="D42" s="34"/>
      <c r="E42" s="56" t="s">
        <v>48</v>
      </c>
      <c r="F42" s="56" t="s">
        <v>48</v>
      </c>
      <c r="G42" s="56" t="s">
        <v>48</v>
      </c>
      <c r="H42" s="56" t="s">
        <v>48</v>
      </c>
      <c r="I42" s="56" t="s">
        <v>48</v>
      </c>
      <c r="J42" s="56" t="s">
        <v>48</v>
      </c>
      <c r="K42" s="56" t="s">
        <v>48</v>
      </c>
      <c r="L42" s="56" t="s">
        <v>48</v>
      </c>
      <c r="M42" s="56" t="s">
        <v>48</v>
      </c>
      <c r="N42" s="56" t="s">
        <v>48</v>
      </c>
      <c r="O42" s="56" t="s">
        <v>48</v>
      </c>
      <c r="P42" s="56" t="s">
        <v>48</v>
      </c>
      <c r="Q42" s="56" t="s">
        <v>48</v>
      </c>
      <c r="R42" s="56" t="s">
        <v>48</v>
      </c>
      <c r="S42" s="56" t="s">
        <v>48</v>
      </c>
      <c r="T42" s="56" t="s">
        <v>48</v>
      </c>
      <c r="U42" s="56" t="s">
        <v>48</v>
      </c>
      <c r="V42" s="56" t="s">
        <v>48</v>
      </c>
      <c r="W42" s="56" t="s">
        <v>48</v>
      </c>
      <c r="X42" s="56" t="s">
        <v>48</v>
      </c>
      <c r="Y42" s="56" t="s">
        <v>48</v>
      </c>
      <c r="Z42" s="56" t="s">
        <v>48</v>
      </c>
      <c r="AA42" s="56" t="s">
        <v>16</v>
      </c>
      <c r="AB42" s="56" t="s">
        <v>48</v>
      </c>
      <c r="AC42" s="56" t="s">
        <v>48</v>
      </c>
      <c r="AD42" s="56" t="s">
        <v>48</v>
      </c>
      <c r="AE42" s="56" t="s">
        <v>48</v>
      </c>
      <c r="AF42" s="56" t="s">
        <v>48</v>
      </c>
      <c r="AG42" s="56" t="s">
        <v>16</v>
      </c>
      <c r="AH42" s="56" t="s">
        <v>48</v>
      </c>
      <c r="AI42" s="56" t="s">
        <v>48</v>
      </c>
      <c r="AJ42" s="56" t="s">
        <v>16</v>
      </c>
      <c r="AK42" s="56" t="s">
        <v>48</v>
      </c>
      <c r="AL42" s="56" t="s">
        <v>48</v>
      </c>
      <c r="AM42" s="56" t="s">
        <v>48</v>
      </c>
      <c r="AN42" s="56" t="s">
        <v>48</v>
      </c>
      <c r="AO42" s="56" t="s">
        <v>48</v>
      </c>
      <c r="AP42" s="56" t="s">
        <v>48</v>
      </c>
      <c r="AQ42" s="56" t="s">
        <v>16</v>
      </c>
      <c r="AR42" s="56" t="s">
        <v>48</v>
      </c>
      <c r="AS42" s="56" t="s">
        <v>16</v>
      </c>
      <c r="AT42" s="56" t="s">
        <v>48</v>
      </c>
      <c r="AU42" s="56" t="s">
        <v>48</v>
      </c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>
        <f t="shared" si="2"/>
        <v>38</v>
      </c>
      <c r="CB42" s="52">
        <f t="shared" si="1"/>
        <v>88.372093023255815</v>
      </c>
    </row>
    <row r="43" spans="1:80" ht="17.25">
      <c r="A43" s="50">
        <v>36</v>
      </c>
      <c r="B43" s="32">
        <v>2023036</v>
      </c>
      <c r="C43" s="32" t="s">
        <v>130</v>
      </c>
      <c r="D43" s="34"/>
      <c r="E43" s="56" t="s">
        <v>48</v>
      </c>
      <c r="F43" s="56" t="s">
        <v>48</v>
      </c>
      <c r="G43" s="56" t="s">
        <v>48</v>
      </c>
      <c r="H43" s="56" t="s">
        <v>16</v>
      </c>
      <c r="I43" s="56" t="s">
        <v>16</v>
      </c>
      <c r="J43" s="56" t="s">
        <v>48</v>
      </c>
      <c r="K43" s="56" t="s">
        <v>48</v>
      </c>
      <c r="L43" s="56" t="s">
        <v>48</v>
      </c>
      <c r="M43" s="56" t="s">
        <v>48</v>
      </c>
      <c r="N43" s="56" t="s">
        <v>48</v>
      </c>
      <c r="O43" s="56" t="s">
        <v>48</v>
      </c>
      <c r="P43" s="56" t="s">
        <v>48</v>
      </c>
      <c r="Q43" s="56" t="s">
        <v>48</v>
      </c>
      <c r="R43" s="56" t="s">
        <v>48</v>
      </c>
      <c r="S43" s="56" t="s">
        <v>48</v>
      </c>
      <c r="T43" s="56" t="s">
        <v>48</v>
      </c>
      <c r="U43" s="56" t="s">
        <v>48</v>
      </c>
      <c r="V43" s="56" t="s">
        <v>16</v>
      </c>
      <c r="W43" s="56" t="s">
        <v>48</v>
      </c>
      <c r="X43" s="56" t="s">
        <v>48</v>
      </c>
      <c r="Y43" s="56" t="s">
        <v>48</v>
      </c>
      <c r="Z43" s="56" t="s">
        <v>48</v>
      </c>
      <c r="AA43" s="56" t="s">
        <v>48</v>
      </c>
      <c r="AB43" s="56" t="s">
        <v>48</v>
      </c>
      <c r="AC43" s="56" t="s">
        <v>48</v>
      </c>
      <c r="AD43" s="56" t="s">
        <v>48</v>
      </c>
      <c r="AE43" s="56" t="s">
        <v>48</v>
      </c>
      <c r="AF43" s="56" t="s">
        <v>48</v>
      </c>
      <c r="AG43" s="56" t="s">
        <v>48</v>
      </c>
      <c r="AH43" s="56" t="s">
        <v>48</v>
      </c>
      <c r="AI43" s="56" t="s">
        <v>48</v>
      </c>
      <c r="AJ43" s="56" t="s">
        <v>48</v>
      </c>
      <c r="AK43" s="56" t="s">
        <v>48</v>
      </c>
      <c r="AL43" s="56" t="s">
        <v>48</v>
      </c>
      <c r="AM43" s="56" t="s">
        <v>48</v>
      </c>
      <c r="AN43" s="56" t="s">
        <v>48</v>
      </c>
      <c r="AO43" s="56" t="s">
        <v>48</v>
      </c>
      <c r="AP43" s="56" t="s">
        <v>48</v>
      </c>
      <c r="AQ43" s="56" t="s">
        <v>48</v>
      </c>
      <c r="AR43" s="56" t="s">
        <v>48</v>
      </c>
      <c r="AS43" s="56" t="s">
        <v>48</v>
      </c>
      <c r="AT43" s="56" t="s">
        <v>48</v>
      </c>
      <c r="AU43" s="56" t="s">
        <v>48</v>
      </c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>
        <f t="shared" si="2"/>
        <v>40</v>
      </c>
      <c r="CB43" s="52">
        <f t="shared" si="1"/>
        <v>93.023255813953483</v>
      </c>
    </row>
    <row r="44" spans="1:80" ht="17.25">
      <c r="A44" s="50">
        <v>37</v>
      </c>
      <c r="B44" s="32">
        <v>2023037</v>
      </c>
      <c r="C44" s="32" t="s">
        <v>131</v>
      </c>
      <c r="D44" s="34"/>
      <c r="E44" s="56" t="s">
        <v>48</v>
      </c>
      <c r="F44" s="56" t="s">
        <v>48</v>
      </c>
      <c r="G44" s="56" t="s">
        <v>48</v>
      </c>
      <c r="H44" s="56" t="s">
        <v>48</v>
      </c>
      <c r="I44" s="56" t="s">
        <v>48</v>
      </c>
      <c r="J44" s="56" t="s">
        <v>48</v>
      </c>
      <c r="K44" s="56" t="s">
        <v>48</v>
      </c>
      <c r="L44" s="56" t="s">
        <v>48</v>
      </c>
      <c r="M44" s="56" t="s">
        <v>48</v>
      </c>
      <c r="N44" s="56" t="s">
        <v>48</v>
      </c>
      <c r="O44" s="56" t="s">
        <v>48</v>
      </c>
      <c r="P44" s="56" t="s">
        <v>48</v>
      </c>
      <c r="Q44" s="56" t="s">
        <v>48</v>
      </c>
      <c r="R44" s="56" t="s">
        <v>48</v>
      </c>
      <c r="S44" s="56" t="s">
        <v>48</v>
      </c>
      <c r="T44" s="56" t="s">
        <v>48</v>
      </c>
      <c r="U44" s="56" t="s">
        <v>48</v>
      </c>
      <c r="V44" s="56" t="s">
        <v>48</v>
      </c>
      <c r="W44" s="56" t="s">
        <v>48</v>
      </c>
      <c r="X44" s="56" t="s">
        <v>48</v>
      </c>
      <c r="Y44" s="56" t="s">
        <v>48</v>
      </c>
      <c r="Z44" s="56" t="s">
        <v>48</v>
      </c>
      <c r="AA44" s="56" t="s">
        <v>16</v>
      </c>
      <c r="AB44" s="56" t="s">
        <v>48</v>
      </c>
      <c r="AC44" s="56" t="s">
        <v>48</v>
      </c>
      <c r="AD44" s="56" t="s">
        <v>48</v>
      </c>
      <c r="AE44" s="56" t="s">
        <v>48</v>
      </c>
      <c r="AF44" s="56" t="s">
        <v>48</v>
      </c>
      <c r="AG44" s="56" t="s">
        <v>48</v>
      </c>
      <c r="AH44" s="56" t="s">
        <v>48</v>
      </c>
      <c r="AI44" s="56" t="s">
        <v>48</v>
      </c>
      <c r="AJ44" s="56" t="s">
        <v>48</v>
      </c>
      <c r="AK44" s="56" t="s">
        <v>48</v>
      </c>
      <c r="AL44" s="56" t="s">
        <v>48</v>
      </c>
      <c r="AM44" s="56" t="s">
        <v>48</v>
      </c>
      <c r="AN44" s="56" t="s">
        <v>48</v>
      </c>
      <c r="AO44" s="56" t="s">
        <v>48</v>
      </c>
      <c r="AP44" s="56" t="s">
        <v>48</v>
      </c>
      <c r="AQ44" s="56" t="s">
        <v>48</v>
      </c>
      <c r="AR44" s="56" t="s">
        <v>48</v>
      </c>
      <c r="AS44" s="56" t="s">
        <v>48</v>
      </c>
      <c r="AT44" s="56" t="s">
        <v>48</v>
      </c>
      <c r="AU44" s="56" t="s">
        <v>48</v>
      </c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>
        <f t="shared" si="2"/>
        <v>42</v>
      </c>
      <c r="CB44" s="52">
        <f t="shared" si="1"/>
        <v>97.674418604651166</v>
      </c>
    </row>
    <row r="45" spans="1:80" ht="17.25">
      <c r="A45" s="50">
        <v>38</v>
      </c>
      <c r="B45" s="32">
        <v>2023038</v>
      </c>
      <c r="C45" s="32" t="s">
        <v>45</v>
      </c>
      <c r="D45" s="34"/>
      <c r="E45" s="56" t="s">
        <v>16</v>
      </c>
      <c r="F45" s="56" t="s">
        <v>48</v>
      </c>
      <c r="G45" s="56" t="s">
        <v>48</v>
      </c>
      <c r="H45" s="56" t="s">
        <v>48</v>
      </c>
      <c r="I45" s="56" t="s">
        <v>48</v>
      </c>
      <c r="J45" s="56" t="s">
        <v>16</v>
      </c>
      <c r="K45" s="56" t="s">
        <v>48</v>
      </c>
      <c r="L45" s="56" t="s">
        <v>16</v>
      </c>
      <c r="M45" s="56" t="s">
        <v>16</v>
      </c>
      <c r="N45" s="56" t="s">
        <v>48</v>
      </c>
      <c r="O45" s="56" t="s">
        <v>16</v>
      </c>
      <c r="P45" s="56" t="s">
        <v>48</v>
      </c>
      <c r="Q45" s="56" t="s">
        <v>16</v>
      </c>
      <c r="R45" s="56" t="s">
        <v>48</v>
      </c>
      <c r="S45" s="56" t="s">
        <v>48</v>
      </c>
      <c r="T45" s="56" t="s">
        <v>48</v>
      </c>
      <c r="U45" s="56" t="s">
        <v>48</v>
      </c>
      <c r="V45" s="56" t="s">
        <v>16</v>
      </c>
      <c r="W45" s="56" t="s">
        <v>48</v>
      </c>
      <c r="X45" s="56" t="s">
        <v>16</v>
      </c>
      <c r="Y45" s="56" t="s">
        <v>16</v>
      </c>
      <c r="Z45" s="56" t="s">
        <v>16</v>
      </c>
      <c r="AA45" s="56" t="s">
        <v>16</v>
      </c>
      <c r="AB45" s="56" t="s">
        <v>16</v>
      </c>
      <c r="AC45" s="56" t="s">
        <v>48</v>
      </c>
      <c r="AD45" s="56" t="s">
        <v>16</v>
      </c>
      <c r="AE45" s="56" t="s">
        <v>48</v>
      </c>
      <c r="AF45" s="56" t="s">
        <v>16</v>
      </c>
      <c r="AG45" s="56" t="s">
        <v>16</v>
      </c>
      <c r="AH45" s="56" t="s">
        <v>48</v>
      </c>
      <c r="AI45" s="56" t="s">
        <v>48</v>
      </c>
      <c r="AJ45" s="56" t="s">
        <v>48</v>
      </c>
      <c r="AK45" s="56" t="s">
        <v>48</v>
      </c>
      <c r="AL45" s="56" t="s">
        <v>48</v>
      </c>
      <c r="AM45" s="56" t="s">
        <v>16</v>
      </c>
      <c r="AN45" s="56" t="s">
        <v>48</v>
      </c>
      <c r="AO45" s="56" t="s">
        <v>48</v>
      </c>
      <c r="AP45" s="56" t="s">
        <v>16</v>
      </c>
      <c r="AQ45" s="56" t="s">
        <v>16</v>
      </c>
      <c r="AR45" s="56" t="s">
        <v>48</v>
      </c>
      <c r="AS45" s="56" t="s">
        <v>48</v>
      </c>
      <c r="AT45" s="56" t="s">
        <v>16</v>
      </c>
      <c r="AU45" s="56" t="s">
        <v>16</v>
      </c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>
        <f t="shared" si="2"/>
        <v>23</v>
      </c>
      <c r="CB45" s="52">
        <f t="shared" si="1"/>
        <v>53.488372093023258</v>
      </c>
    </row>
    <row r="46" spans="1:80" ht="17.25">
      <c r="A46" s="50">
        <v>39</v>
      </c>
      <c r="B46" s="32">
        <v>2023039</v>
      </c>
      <c r="C46" s="32" t="s">
        <v>132</v>
      </c>
      <c r="D46" s="34"/>
      <c r="E46" s="56" t="s">
        <v>16</v>
      </c>
      <c r="F46" s="56" t="s">
        <v>16</v>
      </c>
      <c r="G46" s="56" t="s">
        <v>16</v>
      </c>
      <c r="H46" s="56" t="s">
        <v>16</v>
      </c>
      <c r="I46" s="56" t="s">
        <v>16</v>
      </c>
      <c r="J46" s="56" t="s">
        <v>16</v>
      </c>
      <c r="K46" s="56" t="s">
        <v>16</v>
      </c>
      <c r="L46" s="56" t="s">
        <v>16</v>
      </c>
      <c r="M46" s="56" t="s">
        <v>16</v>
      </c>
      <c r="N46" s="56" t="s">
        <v>16</v>
      </c>
      <c r="O46" s="56" t="s">
        <v>16</v>
      </c>
      <c r="P46" s="56" t="s">
        <v>16</v>
      </c>
      <c r="Q46" s="56" t="s">
        <v>16</v>
      </c>
      <c r="R46" s="56" t="s">
        <v>16</v>
      </c>
      <c r="S46" s="56" t="s">
        <v>16</v>
      </c>
      <c r="T46" s="56" t="s">
        <v>16</v>
      </c>
      <c r="U46" s="56" t="s">
        <v>16</v>
      </c>
      <c r="V46" s="56" t="s">
        <v>16</v>
      </c>
      <c r="W46" s="56" t="s">
        <v>16</v>
      </c>
      <c r="X46" s="56" t="s">
        <v>16</v>
      </c>
      <c r="Y46" s="56" t="s">
        <v>16</v>
      </c>
      <c r="Z46" s="56" t="s">
        <v>16</v>
      </c>
      <c r="AA46" s="56" t="s">
        <v>16</v>
      </c>
      <c r="AB46" s="56" t="s">
        <v>16</v>
      </c>
      <c r="AC46" s="56" t="s">
        <v>16</v>
      </c>
      <c r="AD46" s="56" t="s">
        <v>16</v>
      </c>
      <c r="AE46" s="56" t="s">
        <v>16</v>
      </c>
      <c r="AF46" s="56" t="s">
        <v>16</v>
      </c>
      <c r="AG46" s="56" t="s">
        <v>16</v>
      </c>
      <c r="AH46" s="56" t="s">
        <v>16</v>
      </c>
      <c r="AI46" s="56" t="s">
        <v>16</v>
      </c>
      <c r="AJ46" s="56" t="s">
        <v>16</v>
      </c>
      <c r="AK46" s="56" t="s">
        <v>16</v>
      </c>
      <c r="AL46" s="56" t="s">
        <v>16</v>
      </c>
      <c r="AM46" s="56" t="s">
        <v>16</v>
      </c>
      <c r="AN46" s="56" t="s">
        <v>16</v>
      </c>
      <c r="AO46" s="56" t="s">
        <v>16</v>
      </c>
      <c r="AP46" s="56" t="s">
        <v>16</v>
      </c>
      <c r="AQ46" s="56" t="s">
        <v>16</v>
      </c>
      <c r="AR46" s="56" t="s">
        <v>16</v>
      </c>
      <c r="AS46" s="56" t="s">
        <v>16</v>
      </c>
      <c r="AT46" s="56" t="s">
        <v>16</v>
      </c>
      <c r="AU46" s="56" t="s">
        <v>16</v>
      </c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>
        <f t="shared" si="2"/>
        <v>0</v>
      </c>
      <c r="CB46" s="52">
        <f t="shared" si="1"/>
        <v>0</v>
      </c>
    </row>
    <row r="47" spans="1:80" ht="17.25">
      <c r="A47" s="50">
        <v>40</v>
      </c>
      <c r="B47" s="32">
        <v>2023040</v>
      </c>
      <c r="C47" s="32" t="s">
        <v>133</v>
      </c>
      <c r="D47" s="34"/>
      <c r="E47" s="56" t="s">
        <v>16</v>
      </c>
      <c r="F47" s="56" t="s">
        <v>48</v>
      </c>
      <c r="G47" s="56" t="s">
        <v>48</v>
      </c>
      <c r="H47" s="56" t="s">
        <v>48</v>
      </c>
      <c r="I47" s="56" t="s">
        <v>48</v>
      </c>
      <c r="J47" s="56" t="s">
        <v>48</v>
      </c>
      <c r="K47" s="56" t="s">
        <v>48</v>
      </c>
      <c r="L47" s="56" t="s">
        <v>48</v>
      </c>
      <c r="M47" s="56" t="s">
        <v>48</v>
      </c>
      <c r="N47" s="56" t="s">
        <v>48</v>
      </c>
      <c r="O47" s="56" t="s">
        <v>48</v>
      </c>
      <c r="P47" s="56" t="s">
        <v>48</v>
      </c>
      <c r="Q47" s="56" t="s">
        <v>48</v>
      </c>
      <c r="R47" s="56" t="s">
        <v>48</v>
      </c>
      <c r="S47" s="56" t="s">
        <v>48</v>
      </c>
      <c r="T47" s="56" t="s">
        <v>48</v>
      </c>
      <c r="U47" s="56" t="s">
        <v>48</v>
      </c>
      <c r="V47" s="56" t="s">
        <v>48</v>
      </c>
      <c r="W47" s="56" t="s">
        <v>48</v>
      </c>
      <c r="X47" s="56" t="s">
        <v>48</v>
      </c>
      <c r="Y47" s="56" t="s">
        <v>48</v>
      </c>
      <c r="Z47" s="56" t="s">
        <v>48</v>
      </c>
      <c r="AA47" s="56" t="s">
        <v>48</v>
      </c>
      <c r="AB47" s="56" t="s">
        <v>48</v>
      </c>
      <c r="AC47" s="56" t="s">
        <v>48</v>
      </c>
      <c r="AD47" s="56" t="s">
        <v>48</v>
      </c>
      <c r="AE47" s="56" t="s">
        <v>48</v>
      </c>
      <c r="AF47" s="56" t="s">
        <v>48</v>
      </c>
      <c r="AG47" s="56" t="s">
        <v>48</v>
      </c>
      <c r="AH47" s="56" t="s">
        <v>48</v>
      </c>
      <c r="AI47" s="56" t="s">
        <v>48</v>
      </c>
      <c r="AJ47" s="56" t="s">
        <v>48</v>
      </c>
      <c r="AK47" s="56" t="s">
        <v>48</v>
      </c>
      <c r="AL47" s="56" t="s">
        <v>48</v>
      </c>
      <c r="AM47" s="56" t="s">
        <v>48</v>
      </c>
      <c r="AN47" s="56" t="s">
        <v>48</v>
      </c>
      <c r="AO47" s="56" t="s">
        <v>48</v>
      </c>
      <c r="AP47" s="56" t="s">
        <v>48</v>
      </c>
      <c r="AQ47" s="56" t="s">
        <v>48</v>
      </c>
      <c r="AR47" s="56" t="s">
        <v>16</v>
      </c>
      <c r="AS47" s="56" t="s">
        <v>48</v>
      </c>
      <c r="AT47" s="56" t="s">
        <v>48</v>
      </c>
      <c r="AU47" s="56" t="s">
        <v>16</v>
      </c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>
        <f t="shared" si="2"/>
        <v>40</v>
      </c>
      <c r="CB47" s="52">
        <f t="shared" si="1"/>
        <v>93.023255813953483</v>
      </c>
    </row>
    <row r="48" spans="1:80" ht="17.25">
      <c r="A48" s="50">
        <v>41</v>
      </c>
      <c r="B48" s="32">
        <v>2023041</v>
      </c>
      <c r="C48" s="32" t="s">
        <v>46</v>
      </c>
      <c r="D48" s="34"/>
      <c r="E48" s="56" t="s">
        <v>16</v>
      </c>
      <c r="F48" s="56" t="s">
        <v>48</v>
      </c>
      <c r="G48" s="56" t="s">
        <v>48</v>
      </c>
      <c r="H48" s="56" t="s">
        <v>16</v>
      </c>
      <c r="I48" s="56" t="s">
        <v>48</v>
      </c>
      <c r="J48" s="56" t="s">
        <v>48</v>
      </c>
      <c r="K48" s="56" t="s">
        <v>16</v>
      </c>
      <c r="L48" s="56" t="s">
        <v>16</v>
      </c>
      <c r="M48" s="56" t="s">
        <v>16</v>
      </c>
      <c r="N48" s="56" t="s">
        <v>16</v>
      </c>
      <c r="O48" s="56" t="s">
        <v>16</v>
      </c>
      <c r="P48" s="56" t="s">
        <v>16</v>
      </c>
      <c r="Q48" s="56" t="s">
        <v>48</v>
      </c>
      <c r="R48" s="56" t="s">
        <v>16</v>
      </c>
      <c r="S48" s="56" t="s">
        <v>16</v>
      </c>
      <c r="T48" s="56" t="s">
        <v>16</v>
      </c>
      <c r="U48" s="56" t="s">
        <v>16</v>
      </c>
      <c r="V48" s="56" t="s">
        <v>16</v>
      </c>
      <c r="W48" s="56" t="s">
        <v>16</v>
      </c>
      <c r="X48" s="56" t="s">
        <v>48</v>
      </c>
      <c r="Y48" s="56" t="s">
        <v>16</v>
      </c>
      <c r="Z48" s="56" t="s">
        <v>16</v>
      </c>
      <c r="AA48" s="56" t="s">
        <v>48</v>
      </c>
      <c r="AB48" s="56" t="s">
        <v>16</v>
      </c>
      <c r="AC48" s="56" t="s">
        <v>16</v>
      </c>
      <c r="AD48" s="56" t="s">
        <v>16</v>
      </c>
      <c r="AE48" s="56" t="s">
        <v>16</v>
      </c>
      <c r="AF48" s="56" t="s">
        <v>48</v>
      </c>
      <c r="AG48" s="56" t="s">
        <v>48</v>
      </c>
      <c r="AH48" s="56" t="s">
        <v>48</v>
      </c>
      <c r="AI48" s="56" t="s">
        <v>16</v>
      </c>
      <c r="AJ48" s="56" t="s">
        <v>16</v>
      </c>
      <c r="AK48" s="56" t="s">
        <v>48</v>
      </c>
      <c r="AL48" s="56" t="s">
        <v>48</v>
      </c>
      <c r="AM48" s="56" t="s">
        <v>48</v>
      </c>
      <c r="AN48" s="56" t="s">
        <v>16</v>
      </c>
      <c r="AO48" s="56" t="s">
        <v>48</v>
      </c>
      <c r="AP48" s="56" t="s">
        <v>48</v>
      </c>
      <c r="AQ48" s="56" t="s">
        <v>48</v>
      </c>
      <c r="AR48" s="56" t="s">
        <v>48</v>
      </c>
      <c r="AS48" s="56" t="s">
        <v>48</v>
      </c>
      <c r="AT48" s="56" t="s">
        <v>48</v>
      </c>
      <c r="AU48" s="56" t="s">
        <v>16</v>
      </c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>
        <f t="shared" si="2"/>
        <v>19</v>
      </c>
      <c r="CB48" s="52">
        <f t="shared" si="1"/>
        <v>44.186046511627907</v>
      </c>
    </row>
    <row r="49" spans="1:80" ht="17.25">
      <c r="A49" s="50">
        <v>42</v>
      </c>
      <c r="B49" s="32">
        <v>2023042</v>
      </c>
      <c r="C49" s="32" t="s">
        <v>134</v>
      </c>
      <c r="D49" s="34"/>
      <c r="E49" s="56" t="s">
        <v>16</v>
      </c>
      <c r="F49" s="56" t="s">
        <v>48</v>
      </c>
      <c r="G49" s="56" t="s">
        <v>16</v>
      </c>
      <c r="H49" s="56" t="s">
        <v>16</v>
      </c>
      <c r="I49" s="56" t="s">
        <v>48</v>
      </c>
      <c r="J49" s="56" t="s">
        <v>16</v>
      </c>
      <c r="K49" s="56" t="s">
        <v>48</v>
      </c>
      <c r="L49" s="56" t="s">
        <v>16</v>
      </c>
      <c r="M49" s="56" t="s">
        <v>16</v>
      </c>
      <c r="N49" s="56" t="s">
        <v>48</v>
      </c>
      <c r="O49" s="56" t="s">
        <v>16</v>
      </c>
      <c r="P49" s="56" t="s">
        <v>48</v>
      </c>
      <c r="Q49" s="56" t="s">
        <v>48</v>
      </c>
      <c r="R49" s="56" t="s">
        <v>48</v>
      </c>
      <c r="S49" s="56" t="s">
        <v>48</v>
      </c>
      <c r="T49" s="56" t="s">
        <v>48</v>
      </c>
      <c r="U49" s="56" t="s">
        <v>48</v>
      </c>
      <c r="V49" s="56" t="s">
        <v>48</v>
      </c>
      <c r="W49" s="56" t="s">
        <v>48</v>
      </c>
      <c r="X49" s="56" t="s">
        <v>48</v>
      </c>
      <c r="Y49" s="56" t="s">
        <v>16</v>
      </c>
      <c r="Z49" s="56" t="s">
        <v>16</v>
      </c>
      <c r="AA49" s="56" t="s">
        <v>16</v>
      </c>
      <c r="AB49" s="56" t="s">
        <v>16</v>
      </c>
      <c r="AC49" s="56" t="s">
        <v>48</v>
      </c>
      <c r="AD49" s="56" t="s">
        <v>48</v>
      </c>
      <c r="AE49" s="56" t="s">
        <v>48</v>
      </c>
      <c r="AF49" s="56" t="s">
        <v>48</v>
      </c>
      <c r="AG49" s="56" t="s">
        <v>48</v>
      </c>
      <c r="AH49" s="56" t="s">
        <v>48</v>
      </c>
      <c r="AI49" s="56" t="s">
        <v>16</v>
      </c>
      <c r="AJ49" s="56" t="s">
        <v>16</v>
      </c>
      <c r="AK49" s="56" t="s">
        <v>48</v>
      </c>
      <c r="AL49" s="56" t="s">
        <v>48</v>
      </c>
      <c r="AM49" s="56" t="s">
        <v>48</v>
      </c>
      <c r="AN49" s="56" t="s">
        <v>48</v>
      </c>
      <c r="AO49" s="56" t="s">
        <v>16</v>
      </c>
      <c r="AP49" s="56" t="s">
        <v>48</v>
      </c>
      <c r="AQ49" s="56" t="s">
        <v>48</v>
      </c>
      <c r="AR49" s="56" t="s">
        <v>48</v>
      </c>
      <c r="AS49" s="56" t="s">
        <v>48</v>
      </c>
      <c r="AT49" s="56" t="s">
        <v>16</v>
      </c>
      <c r="AU49" s="56" t="s">
        <v>48</v>
      </c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>
        <f t="shared" si="2"/>
        <v>28</v>
      </c>
      <c r="CB49" s="52">
        <f t="shared" si="1"/>
        <v>65.116279069767444</v>
      </c>
    </row>
    <row r="50" spans="1:80" ht="17.25">
      <c r="A50" s="50">
        <v>43</v>
      </c>
      <c r="B50" s="32">
        <v>2023043</v>
      </c>
      <c r="C50" s="32" t="s">
        <v>135</v>
      </c>
      <c r="D50" s="34"/>
      <c r="E50" s="56" t="s">
        <v>48</v>
      </c>
      <c r="F50" s="56" t="s">
        <v>48</v>
      </c>
      <c r="G50" s="56" t="s">
        <v>48</v>
      </c>
      <c r="H50" s="56" t="s">
        <v>48</v>
      </c>
      <c r="I50" s="56" t="s">
        <v>48</v>
      </c>
      <c r="J50" s="56" t="s">
        <v>48</v>
      </c>
      <c r="K50" s="56" t="s">
        <v>48</v>
      </c>
      <c r="L50" s="56" t="s">
        <v>48</v>
      </c>
      <c r="M50" s="56" t="s">
        <v>48</v>
      </c>
      <c r="N50" s="56" t="s">
        <v>48</v>
      </c>
      <c r="O50" s="56" t="s">
        <v>48</v>
      </c>
      <c r="P50" s="56" t="s">
        <v>48</v>
      </c>
      <c r="Q50" s="56" t="s">
        <v>48</v>
      </c>
      <c r="R50" s="56" t="s">
        <v>48</v>
      </c>
      <c r="S50" s="56" t="s">
        <v>48</v>
      </c>
      <c r="T50" s="56" t="s">
        <v>48</v>
      </c>
      <c r="U50" s="56" t="s">
        <v>48</v>
      </c>
      <c r="V50" s="56" t="s">
        <v>48</v>
      </c>
      <c r="W50" s="56" t="s">
        <v>48</v>
      </c>
      <c r="X50" s="56" t="s">
        <v>48</v>
      </c>
      <c r="Y50" s="56" t="s">
        <v>48</v>
      </c>
      <c r="Z50" s="56" t="s">
        <v>48</v>
      </c>
      <c r="AA50" s="56" t="s">
        <v>48</v>
      </c>
      <c r="AB50" s="56" t="s">
        <v>48</v>
      </c>
      <c r="AC50" s="56" t="s">
        <v>48</v>
      </c>
      <c r="AD50" s="56" t="s">
        <v>48</v>
      </c>
      <c r="AE50" s="56" t="s">
        <v>48</v>
      </c>
      <c r="AF50" s="56" t="s">
        <v>48</v>
      </c>
      <c r="AG50" s="56" t="s">
        <v>48</v>
      </c>
      <c r="AH50" s="56" t="s">
        <v>48</v>
      </c>
      <c r="AI50" s="56" t="s">
        <v>48</v>
      </c>
      <c r="AJ50" s="56" t="s">
        <v>48</v>
      </c>
      <c r="AK50" s="56" t="s">
        <v>48</v>
      </c>
      <c r="AL50" s="56" t="s">
        <v>48</v>
      </c>
      <c r="AM50" s="56" t="s">
        <v>48</v>
      </c>
      <c r="AN50" s="56" t="s">
        <v>48</v>
      </c>
      <c r="AO50" s="56" t="s">
        <v>48</v>
      </c>
      <c r="AP50" s="56" t="s">
        <v>48</v>
      </c>
      <c r="AQ50" s="56" t="s">
        <v>48</v>
      </c>
      <c r="AR50" s="56" t="s">
        <v>16</v>
      </c>
      <c r="AS50" s="56" t="s">
        <v>48</v>
      </c>
      <c r="AT50" s="56" t="s">
        <v>48</v>
      </c>
      <c r="AU50" s="56" t="s">
        <v>48</v>
      </c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>
        <f t="shared" si="2"/>
        <v>42</v>
      </c>
      <c r="CB50" s="52">
        <f t="shared" si="1"/>
        <v>97.674418604651166</v>
      </c>
    </row>
    <row r="51" spans="1:80" ht="17.25">
      <c r="A51" s="50">
        <v>44</v>
      </c>
      <c r="B51" s="32">
        <v>2023044</v>
      </c>
      <c r="C51" s="32" t="s">
        <v>136</v>
      </c>
      <c r="D51" s="34"/>
      <c r="E51" s="56" t="s">
        <v>48</v>
      </c>
      <c r="F51" s="56" t="s">
        <v>16</v>
      </c>
      <c r="G51" s="56" t="s">
        <v>16</v>
      </c>
      <c r="H51" s="56" t="s">
        <v>16</v>
      </c>
      <c r="I51" s="56" t="s">
        <v>48</v>
      </c>
      <c r="J51" s="56" t="s">
        <v>48</v>
      </c>
      <c r="K51" s="56" t="s">
        <v>16</v>
      </c>
      <c r="L51" s="56" t="s">
        <v>16</v>
      </c>
      <c r="M51" s="56" t="s">
        <v>48</v>
      </c>
      <c r="N51" s="56" t="s">
        <v>16</v>
      </c>
      <c r="O51" s="56" t="s">
        <v>48</v>
      </c>
      <c r="P51" s="56" t="s">
        <v>48</v>
      </c>
      <c r="Q51" s="56" t="s">
        <v>48</v>
      </c>
      <c r="R51" s="56" t="s">
        <v>16</v>
      </c>
      <c r="S51" s="56" t="s">
        <v>48</v>
      </c>
      <c r="T51" s="56" t="s">
        <v>48</v>
      </c>
      <c r="U51" s="56" t="s">
        <v>16</v>
      </c>
      <c r="V51" s="56" t="s">
        <v>48</v>
      </c>
      <c r="W51" s="56" t="s">
        <v>48</v>
      </c>
      <c r="X51" s="56" t="s">
        <v>48</v>
      </c>
      <c r="Y51" s="56" t="s">
        <v>16</v>
      </c>
      <c r="Z51" s="56" t="s">
        <v>16</v>
      </c>
      <c r="AA51" s="56" t="s">
        <v>48</v>
      </c>
      <c r="AB51" s="56" t="s">
        <v>48</v>
      </c>
      <c r="AC51" s="56" t="s">
        <v>48</v>
      </c>
      <c r="AD51" s="56" t="s">
        <v>48</v>
      </c>
      <c r="AE51" s="56" t="s">
        <v>48</v>
      </c>
      <c r="AF51" s="56" t="s">
        <v>48</v>
      </c>
      <c r="AG51" s="56" t="s">
        <v>48</v>
      </c>
      <c r="AH51" s="56" t="s">
        <v>48</v>
      </c>
      <c r="AI51" s="56" t="s">
        <v>16</v>
      </c>
      <c r="AJ51" s="56" t="s">
        <v>48</v>
      </c>
      <c r="AK51" s="56" t="s">
        <v>16</v>
      </c>
      <c r="AL51" s="56" t="s">
        <v>16</v>
      </c>
      <c r="AM51" s="56" t="s">
        <v>16</v>
      </c>
      <c r="AN51" s="56" t="s">
        <v>48</v>
      </c>
      <c r="AO51" s="56" t="s">
        <v>48</v>
      </c>
      <c r="AP51" s="56" t="s">
        <v>48</v>
      </c>
      <c r="AQ51" s="56" t="s">
        <v>48</v>
      </c>
      <c r="AR51" s="56" t="s">
        <v>16</v>
      </c>
      <c r="AS51" s="56" t="s">
        <v>16</v>
      </c>
      <c r="AT51" s="56" t="s">
        <v>48</v>
      </c>
      <c r="AU51" s="56" t="s">
        <v>48</v>
      </c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>
        <f t="shared" si="2"/>
        <v>27</v>
      </c>
      <c r="CB51" s="52">
        <f t="shared" si="1"/>
        <v>62.790697674418603</v>
      </c>
    </row>
    <row r="52" spans="1:80" ht="17.25">
      <c r="A52" s="50">
        <v>45</v>
      </c>
      <c r="B52" s="32">
        <v>2023045</v>
      </c>
      <c r="C52" s="32" t="s">
        <v>80</v>
      </c>
      <c r="D52" s="34"/>
      <c r="E52" s="56" t="s">
        <v>48</v>
      </c>
      <c r="F52" s="56" t="s">
        <v>48</v>
      </c>
      <c r="G52" s="56" t="s">
        <v>48</v>
      </c>
      <c r="H52" s="56" t="s">
        <v>16</v>
      </c>
      <c r="I52" s="56" t="s">
        <v>16</v>
      </c>
      <c r="J52" s="56" t="s">
        <v>48</v>
      </c>
      <c r="K52" s="56" t="s">
        <v>48</v>
      </c>
      <c r="L52" s="56" t="s">
        <v>16</v>
      </c>
      <c r="M52" s="56" t="s">
        <v>16</v>
      </c>
      <c r="N52" s="56" t="s">
        <v>16</v>
      </c>
      <c r="O52" s="56" t="s">
        <v>16</v>
      </c>
      <c r="P52" s="56" t="s">
        <v>16</v>
      </c>
      <c r="Q52" s="56" t="s">
        <v>48</v>
      </c>
      <c r="R52" s="56" t="s">
        <v>48</v>
      </c>
      <c r="S52" s="56" t="s">
        <v>16</v>
      </c>
      <c r="T52" s="56" t="s">
        <v>16</v>
      </c>
      <c r="U52" s="56" t="s">
        <v>48</v>
      </c>
      <c r="V52" s="56" t="s">
        <v>48</v>
      </c>
      <c r="W52" s="56" t="s">
        <v>16</v>
      </c>
      <c r="X52" s="56" t="s">
        <v>48</v>
      </c>
      <c r="Y52" s="56" t="s">
        <v>16</v>
      </c>
      <c r="Z52" s="56" t="s">
        <v>16</v>
      </c>
      <c r="AA52" s="56" t="s">
        <v>48</v>
      </c>
      <c r="AB52" s="56" t="s">
        <v>48</v>
      </c>
      <c r="AC52" s="56" t="s">
        <v>16</v>
      </c>
      <c r="AD52" s="56" t="s">
        <v>48</v>
      </c>
      <c r="AE52" s="56" t="s">
        <v>48</v>
      </c>
      <c r="AF52" s="56" t="s">
        <v>16</v>
      </c>
      <c r="AG52" s="56" t="s">
        <v>16</v>
      </c>
      <c r="AH52" s="56" t="s">
        <v>16</v>
      </c>
      <c r="AI52" s="56" t="s">
        <v>16</v>
      </c>
      <c r="AJ52" s="56" t="s">
        <v>16</v>
      </c>
      <c r="AK52" s="56" t="s">
        <v>48</v>
      </c>
      <c r="AL52" s="56" t="s">
        <v>48</v>
      </c>
      <c r="AM52" s="56" t="s">
        <v>16</v>
      </c>
      <c r="AN52" s="56" t="s">
        <v>48</v>
      </c>
      <c r="AO52" s="56" t="s">
        <v>48</v>
      </c>
      <c r="AP52" s="56" t="s">
        <v>16</v>
      </c>
      <c r="AQ52" s="56" t="s">
        <v>16</v>
      </c>
      <c r="AR52" s="56" t="s">
        <v>48</v>
      </c>
      <c r="AS52" s="56" t="s">
        <v>48</v>
      </c>
      <c r="AT52" s="56" t="s">
        <v>48</v>
      </c>
      <c r="AU52" s="56" t="s">
        <v>48</v>
      </c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>
        <f t="shared" si="2"/>
        <v>22</v>
      </c>
      <c r="CB52" s="52">
        <f t="shared" si="1"/>
        <v>51.162790697674417</v>
      </c>
    </row>
    <row r="53" spans="1:80" ht="17.25">
      <c r="A53" s="50">
        <v>46</v>
      </c>
      <c r="B53" s="32">
        <v>2023046</v>
      </c>
      <c r="C53" s="32" t="s">
        <v>137</v>
      </c>
      <c r="D53" s="34"/>
      <c r="E53" s="56" t="s">
        <v>48</v>
      </c>
      <c r="F53" s="56" t="s">
        <v>48</v>
      </c>
      <c r="G53" s="56" t="s">
        <v>48</v>
      </c>
      <c r="H53" s="56" t="s">
        <v>48</v>
      </c>
      <c r="I53" s="56" t="s">
        <v>48</v>
      </c>
      <c r="J53" s="56" t="s">
        <v>48</v>
      </c>
      <c r="K53" s="56" t="s">
        <v>48</v>
      </c>
      <c r="L53" s="56" t="s">
        <v>48</v>
      </c>
      <c r="M53" s="56" t="s">
        <v>48</v>
      </c>
      <c r="N53" s="56" t="s">
        <v>48</v>
      </c>
      <c r="O53" s="56" t="s">
        <v>48</v>
      </c>
      <c r="P53" s="56" t="s">
        <v>48</v>
      </c>
      <c r="Q53" s="56" t="s">
        <v>48</v>
      </c>
      <c r="R53" s="56" t="s">
        <v>48</v>
      </c>
      <c r="S53" s="56" t="s">
        <v>48</v>
      </c>
      <c r="T53" s="56" t="s">
        <v>48</v>
      </c>
      <c r="U53" s="56" t="s">
        <v>48</v>
      </c>
      <c r="V53" s="56" t="s">
        <v>48</v>
      </c>
      <c r="W53" s="56" t="s">
        <v>48</v>
      </c>
      <c r="X53" s="56" t="s">
        <v>48</v>
      </c>
      <c r="Y53" s="56" t="s">
        <v>16</v>
      </c>
      <c r="Z53" s="56" t="s">
        <v>16</v>
      </c>
      <c r="AA53" s="56" t="s">
        <v>48</v>
      </c>
      <c r="AB53" s="56" t="s">
        <v>48</v>
      </c>
      <c r="AC53" s="56" t="s">
        <v>48</v>
      </c>
      <c r="AD53" s="56" t="s">
        <v>48</v>
      </c>
      <c r="AE53" s="56" t="s">
        <v>48</v>
      </c>
      <c r="AF53" s="56" t="s">
        <v>48</v>
      </c>
      <c r="AG53" s="56" t="s">
        <v>48</v>
      </c>
      <c r="AH53" s="56" t="s">
        <v>48</v>
      </c>
      <c r="AI53" s="56" t="s">
        <v>48</v>
      </c>
      <c r="AJ53" s="56" t="s">
        <v>48</v>
      </c>
      <c r="AK53" s="56" t="s">
        <v>48</v>
      </c>
      <c r="AL53" s="56" t="s">
        <v>48</v>
      </c>
      <c r="AM53" s="56" t="s">
        <v>48</v>
      </c>
      <c r="AN53" s="56" t="s">
        <v>48</v>
      </c>
      <c r="AO53" s="56" t="s">
        <v>48</v>
      </c>
      <c r="AP53" s="56" t="s">
        <v>48</v>
      </c>
      <c r="AQ53" s="56" t="s">
        <v>48</v>
      </c>
      <c r="AR53" s="56" t="s">
        <v>48</v>
      </c>
      <c r="AS53" s="56" t="s">
        <v>48</v>
      </c>
      <c r="AT53" s="56" t="s">
        <v>48</v>
      </c>
      <c r="AU53" s="56" t="s">
        <v>48</v>
      </c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>
        <f t="shared" si="2"/>
        <v>41</v>
      </c>
      <c r="CB53" s="52">
        <f t="shared" si="1"/>
        <v>95.348837209302332</v>
      </c>
    </row>
    <row r="54" spans="1:80" ht="17.25">
      <c r="A54" s="50">
        <v>47</v>
      </c>
      <c r="B54" s="32">
        <v>2023047</v>
      </c>
      <c r="C54" s="32" t="s">
        <v>138</v>
      </c>
      <c r="D54" s="34"/>
      <c r="E54" s="56" t="s">
        <v>48</v>
      </c>
      <c r="F54" s="56" t="s">
        <v>48</v>
      </c>
      <c r="G54" s="56" t="s">
        <v>48</v>
      </c>
      <c r="H54" s="56" t="s">
        <v>48</v>
      </c>
      <c r="I54" s="56" t="s">
        <v>48</v>
      </c>
      <c r="J54" s="56" t="s">
        <v>48</v>
      </c>
      <c r="K54" s="56" t="s">
        <v>48</v>
      </c>
      <c r="L54" s="56" t="s">
        <v>16</v>
      </c>
      <c r="M54" s="56" t="s">
        <v>48</v>
      </c>
      <c r="N54" s="56" t="s">
        <v>48</v>
      </c>
      <c r="O54" s="56" t="s">
        <v>16</v>
      </c>
      <c r="P54" s="56" t="s">
        <v>16</v>
      </c>
      <c r="Q54" s="56" t="s">
        <v>48</v>
      </c>
      <c r="R54" s="56" t="s">
        <v>48</v>
      </c>
      <c r="S54" s="56" t="s">
        <v>16</v>
      </c>
      <c r="T54" s="56" t="s">
        <v>48</v>
      </c>
      <c r="U54" s="56" t="s">
        <v>48</v>
      </c>
      <c r="V54" s="56" t="s">
        <v>48</v>
      </c>
      <c r="W54" s="56" t="s">
        <v>48</v>
      </c>
      <c r="X54" s="56" t="s">
        <v>16</v>
      </c>
      <c r="Y54" s="56" t="s">
        <v>16</v>
      </c>
      <c r="Z54" s="56" t="s">
        <v>16</v>
      </c>
      <c r="AA54" s="56" t="s">
        <v>16</v>
      </c>
      <c r="AB54" s="56" t="s">
        <v>16</v>
      </c>
      <c r="AC54" s="56" t="s">
        <v>48</v>
      </c>
      <c r="AD54" s="56" t="s">
        <v>48</v>
      </c>
      <c r="AE54" s="56" t="s">
        <v>16</v>
      </c>
      <c r="AF54" s="56" t="s">
        <v>16</v>
      </c>
      <c r="AG54" s="56" t="s">
        <v>16</v>
      </c>
      <c r="AH54" s="56" t="s">
        <v>16</v>
      </c>
      <c r="AI54" s="56" t="s">
        <v>16</v>
      </c>
      <c r="AJ54" s="56" t="s">
        <v>16</v>
      </c>
      <c r="AK54" s="56" t="s">
        <v>48</v>
      </c>
      <c r="AL54" s="56" t="s">
        <v>48</v>
      </c>
      <c r="AM54" s="56" t="s">
        <v>16</v>
      </c>
      <c r="AN54" s="56" t="s">
        <v>48</v>
      </c>
      <c r="AO54" s="56" t="s">
        <v>48</v>
      </c>
      <c r="AP54" s="56" t="s">
        <v>16</v>
      </c>
      <c r="AQ54" s="56" t="s">
        <v>16</v>
      </c>
      <c r="AR54" s="56" t="s">
        <v>48</v>
      </c>
      <c r="AS54" s="56" t="s">
        <v>48</v>
      </c>
      <c r="AT54" s="56" t="s">
        <v>48</v>
      </c>
      <c r="AU54" s="56" t="s">
        <v>16</v>
      </c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>
        <f t="shared" si="2"/>
        <v>24</v>
      </c>
      <c r="CB54" s="52">
        <f t="shared" si="1"/>
        <v>55.813953488372093</v>
      </c>
    </row>
    <row r="55" spans="1:80" ht="17.25">
      <c r="A55" s="50">
        <v>48</v>
      </c>
      <c r="B55" s="32">
        <v>2023048</v>
      </c>
      <c r="C55" s="32" t="s">
        <v>139</v>
      </c>
      <c r="D55" s="34"/>
      <c r="E55" s="56" t="s">
        <v>48</v>
      </c>
      <c r="F55" s="56" t="s">
        <v>48</v>
      </c>
      <c r="G55" s="56" t="s">
        <v>48</v>
      </c>
      <c r="H55" s="56" t="s">
        <v>48</v>
      </c>
      <c r="I55" s="56" t="s">
        <v>48</v>
      </c>
      <c r="J55" s="56" t="s">
        <v>48</v>
      </c>
      <c r="K55" s="56" t="s">
        <v>48</v>
      </c>
      <c r="L55" s="56" t="s">
        <v>48</v>
      </c>
      <c r="M55" s="56" t="s">
        <v>48</v>
      </c>
      <c r="N55" s="56" t="s">
        <v>48</v>
      </c>
      <c r="O55" s="56" t="s">
        <v>48</v>
      </c>
      <c r="P55" s="56" t="s">
        <v>48</v>
      </c>
      <c r="Q55" s="56" t="s">
        <v>48</v>
      </c>
      <c r="R55" s="56" t="s">
        <v>48</v>
      </c>
      <c r="S55" s="56" t="s">
        <v>48</v>
      </c>
      <c r="T55" s="56" t="s">
        <v>48</v>
      </c>
      <c r="U55" s="56" t="s">
        <v>16</v>
      </c>
      <c r="V55" s="56" t="s">
        <v>48</v>
      </c>
      <c r="W55" s="56" t="s">
        <v>48</v>
      </c>
      <c r="X55" s="56" t="s">
        <v>48</v>
      </c>
      <c r="Y55" s="56" t="s">
        <v>16</v>
      </c>
      <c r="Z55" s="56" t="s">
        <v>16</v>
      </c>
      <c r="AA55" s="56" t="s">
        <v>48</v>
      </c>
      <c r="AB55" s="56" t="s">
        <v>48</v>
      </c>
      <c r="AC55" s="56" t="s">
        <v>48</v>
      </c>
      <c r="AD55" s="56" t="s">
        <v>48</v>
      </c>
      <c r="AE55" s="56" t="s">
        <v>48</v>
      </c>
      <c r="AF55" s="56" t="s">
        <v>48</v>
      </c>
      <c r="AG55" s="56" t="s">
        <v>48</v>
      </c>
      <c r="AH55" s="56" t="s">
        <v>48</v>
      </c>
      <c r="AI55" s="56" t="s">
        <v>16</v>
      </c>
      <c r="AJ55" s="56" t="s">
        <v>16</v>
      </c>
      <c r="AK55" s="56" t="s">
        <v>48</v>
      </c>
      <c r="AL55" s="56" t="s">
        <v>48</v>
      </c>
      <c r="AM55" s="56" t="s">
        <v>48</v>
      </c>
      <c r="AN55" s="56" t="s">
        <v>48</v>
      </c>
      <c r="AO55" s="56" t="s">
        <v>48</v>
      </c>
      <c r="AP55" s="56" t="s">
        <v>48</v>
      </c>
      <c r="AQ55" s="56" t="s">
        <v>48</v>
      </c>
      <c r="AR55" s="56" t="s">
        <v>48</v>
      </c>
      <c r="AS55" s="56" t="s">
        <v>48</v>
      </c>
      <c r="AT55" s="56" t="s">
        <v>48</v>
      </c>
      <c r="AU55" s="56" t="s">
        <v>48</v>
      </c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>
        <f t="shared" si="2"/>
        <v>38</v>
      </c>
      <c r="CB55" s="52">
        <f t="shared" si="1"/>
        <v>88.372093023255815</v>
      </c>
    </row>
    <row r="56" spans="1:80" ht="17.25">
      <c r="A56" s="50">
        <v>49</v>
      </c>
      <c r="B56" s="32">
        <v>2023049</v>
      </c>
      <c r="C56" s="32" t="s">
        <v>140</v>
      </c>
      <c r="D56" s="34"/>
      <c r="E56" s="56" t="s">
        <v>48</v>
      </c>
      <c r="F56" s="56" t="s">
        <v>48</v>
      </c>
      <c r="G56" s="56" t="s">
        <v>48</v>
      </c>
      <c r="H56" s="56" t="s">
        <v>48</v>
      </c>
      <c r="I56" s="56" t="s">
        <v>48</v>
      </c>
      <c r="J56" s="56" t="s">
        <v>48</v>
      </c>
      <c r="K56" s="56" t="s">
        <v>48</v>
      </c>
      <c r="L56" s="56" t="s">
        <v>16</v>
      </c>
      <c r="M56" s="56" t="s">
        <v>48</v>
      </c>
      <c r="N56" s="56" t="s">
        <v>16</v>
      </c>
      <c r="O56" s="56" t="s">
        <v>48</v>
      </c>
      <c r="P56" s="56" t="s">
        <v>16</v>
      </c>
      <c r="Q56" s="56" t="s">
        <v>48</v>
      </c>
      <c r="R56" s="56" t="s">
        <v>48</v>
      </c>
      <c r="S56" s="56" t="s">
        <v>48</v>
      </c>
      <c r="T56" s="56" t="s">
        <v>48</v>
      </c>
      <c r="U56" s="56" t="s">
        <v>48</v>
      </c>
      <c r="V56" s="56" t="s">
        <v>48</v>
      </c>
      <c r="W56" s="56" t="s">
        <v>48</v>
      </c>
      <c r="X56" s="56" t="s">
        <v>16</v>
      </c>
      <c r="Y56" s="56" t="s">
        <v>16</v>
      </c>
      <c r="Z56" s="56" t="s">
        <v>16</v>
      </c>
      <c r="AA56" s="56" t="s">
        <v>16</v>
      </c>
      <c r="AB56" s="56" t="s">
        <v>48</v>
      </c>
      <c r="AC56" s="56" t="s">
        <v>48</v>
      </c>
      <c r="AD56" s="56" t="s">
        <v>48</v>
      </c>
      <c r="AE56" s="56" t="s">
        <v>48</v>
      </c>
      <c r="AF56" s="56" t="s">
        <v>16</v>
      </c>
      <c r="AG56" s="56" t="s">
        <v>16</v>
      </c>
      <c r="AH56" s="56" t="s">
        <v>16</v>
      </c>
      <c r="AI56" s="56" t="s">
        <v>16</v>
      </c>
      <c r="AJ56" s="56" t="s">
        <v>16</v>
      </c>
      <c r="AK56" s="56" t="s">
        <v>16</v>
      </c>
      <c r="AL56" s="56" t="s">
        <v>16</v>
      </c>
      <c r="AM56" s="56" t="s">
        <v>16</v>
      </c>
      <c r="AN56" s="56" t="s">
        <v>48</v>
      </c>
      <c r="AO56" s="56" t="s">
        <v>48</v>
      </c>
      <c r="AP56" s="56" t="s">
        <v>16</v>
      </c>
      <c r="AQ56" s="56" t="s">
        <v>16</v>
      </c>
      <c r="AR56" s="56" t="s">
        <v>48</v>
      </c>
      <c r="AS56" s="56" t="s">
        <v>48</v>
      </c>
      <c r="AT56" s="56" t="s">
        <v>48</v>
      </c>
      <c r="AU56" s="56" t="s">
        <v>16</v>
      </c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>
        <f t="shared" si="2"/>
        <v>25</v>
      </c>
      <c r="CB56" s="52">
        <f t="shared" si="1"/>
        <v>58.139534883720927</v>
      </c>
    </row>
    <row r="57" spans="1:80" ht="17.25">
      <c r="A57" s="50">
        <v>50</v>
      </c>
      <c r="B57" s="32">
        <v>2023050</v>
      </c>
      <c r="C57" s="32" t="s">
        <v>141</v>
      </c>
      <c r="D57" s="34"/>
      <c r="E57" s="56" t="s">
        <v>48</v>
      </c>
      <c r="F57" s="56" t="s">
        <v>48</v>
      </c>
      <c r="G57" s="56" t="s">
        <v>48</v>
      </c>
      <c r="H57" s="56" t="s">
        <v>48</v>
      </c>
      <c r="I57" s="56" t="s">
        <v>48</v>
      </c>
      <c r="J57" s="56" t="s">
        <v>48</v>
      </c>
      <c r="K57" s="56" t="s">
        <v>48</v>
      </c>
      <c r="L57" s="56" t="s">
        <v>48</v>
      </c>
      <c r="M57" s="56" t="s">
        <v>16</v>
      </c>
      <c r="N57" s="56" t="s">
        <v>48</v>
      </c>
      <c r="O57" s="56" t="s">
        <v>48</v>
      </c>
      <c r="P57" s="56" t="s">
        <v>48</v>
      </c>
      <c r="Q57" s="56" t="s">
        <v>16</v>
      </c>
      <c r="R57" s="56" t="s">
        <v>48</v>
      </c>
      <c r="S57" s="56" t="s">
        <v>48</v>
      </c>
      <c r="T57" s="56" t="s">
        <v>48</v>
      </c>
      <c r="U57" s="56" t="s">
        <v>16</v>
      </c>
      <c r="V57" s="56" t="s">
        <v>16</v>
      </c>
      <c r="W57" s="56" t="s">
        <v>16</v>
      </c>
      <c r="X57" s="56" t="s">
        <v>48</v>
      </c>
      <c r="Y57" s="56" t="s">
        <v>48</v>
      </c>
      <c r="Z57" s="56" t="s">
        <v>48</v>
      </c>
      <c r="AA57" s="56" t="s">
        <v>16</v>
      </c>
      <c r="AB57" s="56" t="s">
        <v>48</v>
      </c>
      <c r="AC57" s="56" t="s">
        <v>48</v>
      </c>
      <c r="AD57" s="56" t="s">
        <v>48</v>
      </c>
      <c r="AE57" s="56" t="s">
        <v>48</v>
      </c>
      <c r="AF57" s="56" t="s">
        <v>16</v>
      </c>
      <c r="AG57" s="56" t="s">
        <v>16</v>
      </c>
      <c r="AH57" s="56" t="s">
        <v>16</v>
      </c>
      <c r="AI57" s="56" t="s">
        <v>16</v>
      </c>
      <c r="AJ57" s="56" t="s">
        <v>48</v>
      </c>
      <c r="AK57" s="56" t="s">
        <v>48</v>
      </c>
      <c r="AL57" s="56" t="s">
        <v>48</v>
      </c>
      <c r="AM57" s="56" t="s">
        <v>48</v>
      </c>
      <c r="AN57" s="56" t="s">
        <v>48</v>
      </c>
      <c r="AO57" s="56" t="s">
        <v>16</v>
      </c>
      <c r="AP57" s="56" t="s">
        <v>16</v>
      </c>
      <c r="AQ57" s="56" t="s">
        <v>16</v>
      </c>
      <c r="AR57" s="56" t="s">
        <v>16</v>
      </c>
      <c r="AS57" s="56" t="s">
        <v>48</v>
      </c>
      <c r="AT57" s="56" t="s">
        <v>48</v>
      </c>
      <c r="AU57" s="56" t="s">
        <v>16</v>
      </c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>
        <f t="shared" si="2"/>
        <v>28</v>
      </c>
      <c r="CB57" s="52">
        <f t="shared" si="1"/>
        <v>65.116279069767444</v>
      </c>
    </row>
    <row r="58" spans="1:80" ht="17.25">
      <c r="A58" s="50">
        <v>51</v>
      </c>
      <c r="B58" s="32">
        <v>2023051</v>
      </c>
      <c r="C58" s="32" t="s">
        <v>142</v>
      </c>
      <c r="D58" s="34"/>
      <c r="E58" s="56" t="s">
        <v>48</v>
      </c>
      <c r="F58" s="56" t="s">
        <v>48</v>
      </c>
      <c r="G58" s="56" t="s">
        <v>48</v>
      </c>
      <c r="H58" s="56" t="s">
        <v>48</v>
      </c>
      <c r="I58" s="56" t="s">
        <v>48</v>
      </c>
      <c r="J58" s="56" t="s">
        <v>16</v>
      </c>
      <c r="K58" s="56" t="s">
        <v>48</v>
      </c>
      <c r="L58" s="56" t="s">
        <v>48</v>
      </c>
      <c r="M58" s="56" t="s">
        <v>48</v>
      </c>
      <c r="N58" s="56" t="s">
        <v>48</v>
      </c>
      <c r="O58" s="56" t="s">
        <v>48</v>
      </c>
      <c r="P58" s="56" t="s">
        <v>48</v>
      </c>
      <c r="Q58" s="56" t="s">
        <v>48</v>
      </c>
      <c r="R58" s="56" t="s">
        <v>48</v>
      </c>
      <c r="S58" s="56" t="s">
        <v>16</v>
      </c>
      <c r="T58" s="56" t="s">
        <v>16</v>
      </c>
      <c r="U58" s="56" t="s">
        <v>48</v>
      </c>
      <c r="V58" s="56" t="s">
        <v>48</v>
      </c>
      <c r="W58" s="56" t="s">
        <v>48</v>
      </c>
      <c r="X58" s="56" t="s">
        <v>48</v>
      </c>
      <c r="Y58" s="56" t="s">
        <v>48</v>
      </c>
      <c r="Z58" s="56" t="s">
        <v>48</v>
      </c>
      <c r="AA58" s="56" t="s">
        <v>48</v>
      </c>
      <c r="AB58" s="56" t="s">
        <v>48</v>
      </c>
      <c r="AC58" s="56" t="s">
        <v>48</v>
      </c>
      <c r="AD58" s="56" t="s">
        <v>48</v>
      </c>
      <c r="AE58" s="56" t="s">
        <v>48</v>
      </c>
      <c r="AF58" s="56" t="s">
        <v>48</v>
      </c>
      <c r="AG58" s="56" t="s">
        <v>48</v>
      </c>
      <c r="AH58" s="56" t="s">
        <v>48</v>
      </c>
      <c r="AI58" s="56" t="s">
        <v>16</v>
      </c>
      <c r="AJ58" s="56" t="s">
        <v>48</v>
      </c>
      <c r="AK58" s="56" t="s">
        <v>48</v>
      </c>
      <c r="AL58" s="56" t="s">
        <v>48</v>
      </c>
      <c r="AM58" s="56" t="s">
        <v>48</v>
      </c>
      <c r="AN58" s="56" t="s">
        <v>48</v>
      </c>
      <c r="AO58" s="56" t="s">
        <v>48</v>
      </c>
      <c r="AP58" s="56" t="s">
        <v>48</v>
      </c>
      <c r="AQ58" s="56" t="s">
        <v>48</v>
      </c>
      <c r="AR58" s="56" t="s">
        <v>48</v>
      </c>
      <c r="AS58" s="56" t="s">
        <v>16</v>
      </c>
      <c r="AT58" s="56" t="s">
        <v>48</v>
      </c>
      <c r="AU58" s="56" t="s">
        <v>48</v>
      </c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>
        <f t="shared" si="2"/>
        <v>38</v>
      </c>
      <c r="CB58" s="52">
        <f t="shared" si="1"/>
        <v>88.372093023255815</v>
      </c>
    </row>
    <row r="59" spans="1:80" ht="17.25">
      <c r="A59" s="50">
        <v>52</v>
      </c>
      <c r="B59" s="32">
        <v>2023052</v>
      </c>
      <c r="C59" s="32" t="s">
        <v>143</v>
      </c>
      <c r="D59" s="34"/>
      <c r="E59" s="56" t="s">
        <v>16</v>
      </c>
      <c r="F59" s="56" t="s">
        <v>48</v>
      </c>
      <c r="G59" s="56" t="s">
        <v>48</v>
      </c>
      <c r="H59" s="56" t="s">
        <v>16</v>
      </c>
      <c r="I59" s="56" t="s">
        <v>48</v>
      </c>
      <c r="J59" s="56" t="s">
        <v>16</v>
      </c>
      <c r="K59" s="56" t="s">
        <v>16</v>
      </c>
      <c r="L59" s="56" t="s">
        <v>16</v>
      </c>
      <c r="M59" s="56" t="s">
        <v>16</v>
      </c>
      <c r="N59" s="56" t="s">
        <v>16</v>
      </c>
      <c r="O59" s="56" t="s">
        <v>48</v>
      </c>
      <c r="P59" s="56" t="s">
        <v>16</v>
      </c>
      <c r="Q59" s="56" t="s">
        <v>48</v>
      </c>
      <c r="R59" s="56" t="s">
        <v>16</v>
      </c>
      <c r="S59" s="56" t="s">
        <v>16</v>
      </c>
      <c r="T59" s="56" t="s">
        <v>16</v>
      </c>
      <c r="U59" s="56" t="s">
        <v>48</v>
      </c>
      <c r="V59" s="56" t="s">
        <v>48</v>
      </c>
      <c r="W59" s="56" t="s">
        <v>48</v>
      </c>
      <c r="X59" s="56" t="s">
        <v>16</v>
      </c>
      <c r="Y59" s="56" t="s">
        <v>48</v>
      </c>
      <c r="Z59" s="56" t="s">
        <v>48</v>
      </c>
      <c r="AA59" s="56" t="s">
        <v>48</v>
      </c>
      <c r="AB59" s="56" t="s">
        <v>48</v>
      </c>
      <c r="AC59" s="56" t="s">
        <v>48</v>
      </c>
      <c r="AD59" s="56" t="s">
        <v>48</v>
      </c>
      <c r="AE59" s="56" t="s">
        <v>48</v>
      </c>
      <c r="AF59" s="56" t="s">
        <v>48</v>
      </c>
      <c r="AG59" s="56" t="s">
        <v>48</v>
      </c>
      <c r="AH59" s="56" t="s">
        <v>48</v>
      </c>
      <c r="AI59" s="56" t="s">
        <v>16</v>
      </c>
      <c r="AJ59" s="56" t="s">
        <v>16</v>
      </c>
      <c r="AK59" s="56" t="s">
        <v>48</v>
      </c>
      <c r="AL59" s="56" t="s">
        <v>48</v>
      </c>
      <c r="AM59" s="56" t="s">
        <v>48</v>
      </c>
      <c r="AN59" s="56" t="s">
        <v>48</v>
      </c>
      <c r="AO59" s="56" t="s">
        <v>48</v>
      </c>
      <c r="AP59" s="56" t="s">
        <v>48</v>
      </c>
      <c r="AQ59" s="56" t="s">
        <v>48</v>
      </c>
      <c r="AR59" s="56" t="s">
        <v>48</v>
      </c>
      <c r="AS59" s="56" t="s">
        <v>48</v>
      </c>
      <c r="AT59" s="56" t="s">
        <v>48</v>
      </c>
      <c r="AU59" s="56" t="s">
        <v>48</v>
      </c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>
        <f t="shared" si="2"/>
        <v>29</v>
      </c>
      <c r="CB59" s="52">
        <f t="shared" si="1"/>
        <v>67.441860465116278</v>
      </c>
    </row>
    <row r="60" spans="1:80" ht="17.25">
      <c r="A60" s="50">
        <v>53</v>
      </c>
      <c r="B60" s="32">
        <v>2023053</v>
      </c>
      <c r="C60" s="32" t="s">
        <v>144</v>
      </c>
      <c r="D60" s="34"/>
      <c r="E60" s="56" t="s">
        <v>48</v>
      </c>
      <c r="F60" s="56" t="s">
        <v>48</v>
      </c>
      <c r="G60" s="56" t="s">
        <v>48</v>
      </c>
      <c r="H60" s="56" t="s">
        <v>48</v>
      </c>
      <c r="I60" s="56" t="s">
        <v>48</v>
      </c>
      <c r="J60" s="56" t="s">
        <v>48</v>
      </c>
      <c r="K60" s="56" t="s">
        <v>48</v>
      </c>
      <c r="L60" s="56" t="s">
        <v>48</v>
      </c>
      <c r="M60" s="56" t="s">
        <v>48</v>
      </c>
      <c r="N60" s="56" t="s">
        <v>48</v>
      </c>
      <c r="O60" s="56" t="s">
        <v>48</v>
      </c>
      <c r="P60" s="56" t="s">
        <v>16</v>
      </c>
      <c r="Q60" s="56" t="s">
        <v>48</v>
      </c>
      <c r="R60" s="56" t="s">
        <v>48</v>
      </c>
      <c r="S60" s="56" t="s">
        <v>48</v>
      </c>
      <c r="T60" s="56" t="s">
        <v>48</v>
      </c>
      <c r="U60" s="56" t="s">
        <v>48</v>
      </c>
      <c r="V60" s="56" t="s">
        <v>48</v>
      </c>
      <c r="W60" s="56" t="s">
        <v>48</v>
      </c>
      <c r="X60" s="56" t="s">
        <v>48</v>
      </c>
      <c r="Y60" s="56" t="s">
        <v>48</v>
      </c>
      <c r="Z60" s="56" t="s">
        <v>48</v>
      </c>
      <c r="AA60" s="56" t="s">
        <v>16</v>
      </c>
      <c r="AB60" s="56" t="s">
        <v>48</v>
      </c>
      <c r="AC60" s="56" t="s">
        <v>48</v>
      </c>
      <c r="AD60" s="56" t="s">
        <v>48</v>
      </c>
      <c r="AE60" s="56" t="s">
        <v>48</v>
      </c>
      <c r="AF60" s="56" t="s">
        <v>16</v>
      </c>
      <c r="AG60" s="56" t="s">
        <v>48</v>
      </c>
      <c r="AH60" s="56" t="s">
        <v>48</v>
      </c>
      <c r="AI60" s="56" t="s">
        <v>16</v>
      </c>
      <c r="AJ60" s="56" t="s">
        <v>48</v>
      </c>
      <c r="AK60" s="56" t="s">
        <v>48</v>
      </c>
      <c r="AL60" s="56" t="s">
        <v>48</v>
      </c>
      <c r="AM60" s="56" t="s">
        <v>48</v>
      </c>
      <c r="AN60" s="56" t="s">
        <v>48</v>
      </c>
      <c r="AO60" s="56" t="s">
        <v>48</v>
      </c>
      <c r="AP60" s="56" t="s">
        <v>16</v>
      </c>
      <c r="AQ60" s="56" t="s">
        <v>48</v>
      </c>
      <c r="AR60" s="56" t="s">
        <v>48</v>
      </c>
      <c r="AS60" s="56" t="s">
        <v>16</v>
      </c>
      <c r="AT60" s="56" t="s">
        <v>48</v>
      </c>
      <c r="AU60" s="56" t="s">
        <v>48</v>
      </c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>
        <f t="shared" si="2"/>
        <v>37</v>
      </c>
      <c r="CB60" s="52">
        <f t="shared" si="1"/>
        <v>86.04651162790698</v>
      </c>
    </row>
    <row r="61" spans="1:80" ht="17.25">
      <c r="A61" s="50">
        <v>54</v>
      </c>
      <c r="B61" s="32">
        <v>2023054</v>
      </c>
      <c r="C61" s="32" t="s">
        <v>145</v>
      </c>
      <c r="D61" s="34"/>
      <c r="E61" s="56" t="s">
        <v>16</v>
      </c>
      <c r="F61" s="56" t="s">
        <v>16</v>
      </c>
      <c r="G61" s="56" t="s">
        <v>16</v>
      </c>
      <c r="H61" s="56" t="s">
        <v>16</v>
      </c>
      <c r="I61" s="56" t="s">
        <v>16</v>
      </c>
      <c r="J61" s="56" t="s">
        <v>16</v>
      </c>
      <c r="K61" s="56" t="s">
        <v>16</v>
      </c>
      <c r="L61" s="56" t="s">
        <v>16</v>
      </c>
      <c r="M61" s="56" t="s">
        <v>16</v>
      </c>
      <c r="N61" s="56" t="s">
        <v>16</v>
      </c>
      <c r="O61" s="56" t="s">
        <v>16</v>
      </c>
      <c r="P61" s="56" t="s">
        <v>16</v>
      </c>
      <c r="Q61" s="56" t="s">
        <v>16</v>
      </c>
      <c r="R61" s="56" t="s">
        <v>16</v>
      </c>
      <c r="S61" s="56" t="s">
        <v>16</v>
      </c>
      <c r="T61" s="56" t="s">
        <v>16</v>
      </c>
      <c r="U61" s="56" t="s">
        <v>16</v>
      </c>
      <c r="V61" s="56" t="s">
        <v>16</v>
      </c>
      <c r="W61" s="56" t="s">
        <v>16</v>
      </c>
      <c r="X61" s="56" t="s">
        <v>16</v>
      </c>
      <c r="Y61" s="56" t="s">
        <v>16</v>
      </c>
      <c r="Z61" s="56" t="s">
        <v>16</v>
      </c>
      <c r="AA61" s="56" t="s">
        <v>16</v>
      </c>
      <c r="AB61" s="56" t="s">
        <v>16</v>
      </c>
      <c r="AC61" s="56" t="s">
        <v>16</v>
      </c>
      <c r="AD61" s="56" t="s">
        <v>16</v>
      </c>
      <c r="AE61" s="56" t="s">
        <v>16</v>
      </c>
      <c r="AF61" s="56" t="s">
        <v>16</v>
      </c>
      <c r="AG61" s="56" t="s">
        <v>16</v>
      </c>
      <c r="AH61" s="56" t="s">
        <v>16</v>
      </c>
      <c r="AI61" s="56" t="s">
        <v>16</v>
      </c>
      <c r="AJ61" s="56" t="s">
        <v>16</v>
      </c>
      <c r="AK61" s="56" t="s">
        <v>16</v>
      </c>
      <c r="AL61" s="56" t="s">
        <v>16</v>
      </c>
      <c r="AM61" s="56" t="s">
        <v>16</v>
      </c>
      <c r="AN61" s="56" t="s">
        <v>16</v>
      </c>
      <c r="AO61" s="56" t="s">
        <v>16</v>
      </c>
      <c r="AP61" s="56" t="s">
        <v>16</v>
      </c>
      <c r="AQ61" s="56" t="s">
        <v>16</v>
      </c>
      <c r="AR61" s="56" t="s">
        <v>16</v>
      </c>
      <c r="AS61" s="56" t="s">
        <v>16</v>
      </c>
      <c r="AT61" s="56" t="s">
        <v>16</v>
      </c>
      <c r="AU61" s="56" t="s">
        <v>16</v>
      </c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>
        <f t="shared" si="2"/>
        <v>0</v>
      </c>
      <c r="CB61" s="52">
        <f t="shared" si="1"/>
        <v>0</v>
      </c>
    </row>
    <row r="62" spans="1:80" ht="16.5" customHeight="1">
      <c r="A62" s="50">
        <v>55</v>
      </c>
      <c r="B62" s="32">
        <v>2023055</v>
      </c>
      <c r="C62" s="32" t="s">
        <v>146</v>
      </c>
      <c r="D62" s="35"/>
      <c r="E62" s="56" t="s">
        <v>48</v>
      </c>
      <c r="F62" s="56" t="s">
        <v>48</v>
      </c>
      <c r="G62" s="56" t="s">
        <v>48</v>
      </c>
      <c r="H62" s="56" t="s">
        <v>16</v>
      </c>
      <c r="I62" s="56" t="s">
        <v>48</v>
      </c>
      <c r="J62" s="56" t="s">
        <v>48</v>
      </c>
      <c r="K62" s="56" t="s">
        <v>16</v>
      </c>
      <c r="L62" s="56" t="s">
        <v>16</v>
      </c>
      <c r="M62" s="56" t="s">
        <v>48</v>
      </c>
      <c r="N62" s="56" t="s">
        <v>48</v>
      </c>
      <c r="O62" s="56" t="s">
        <v>48</v>
      </c>
      <c r="P62" s="56" t="s">
        <v>48</v>
      </c>
      <c r="Q62" s="56" t="s">
        <v>48</v>
      </c>
      <c r="R62" s="56" t="s">
        <v>16</v>
      </c>
      <c r="S62" s="56" t="s">
        <v>48</v>
      </c>
      <c r="T62" s="56" t="s">
        <v>48</v>
      </c>
      <c r="U62" s="56" t="s">
        <v>48</v>
      </c>
      <c r="V62" s="56" t="s">
        <v>48</v>
      </c>
      <c r="W62" s="56" t="s">
        <v>48</v>
      </c>
      <c r="X62" s="56" t="s">
        <v>48</v>
      </c>
      <c r="Y62" s="56" t="s">
        <v>48</v>
      </c>
      <c r="Z62" s="56" t="s">
        <v>48</v>
      </c>
      <c r="AA62" s="56" t="s">
        <v>48</v>
      </c>
      <c r="AB62" s="56" t="s">
        <v>16</v>
      </c>
      <c r="AC62" s="56" t="s">
        <v>48</v>
      </c>
      <c r="AD62" s="56" t="s">
        <v>48</v>
      </c>
      <c r="AE62" s="56" t="s">
        <v>48</v>
      </c>
      <c r="AF62" s="56" t="s">
        <v>48</v>
      </c>
      <c r="AG62" s="56" t="s">
        <v>48</v>
      </c>
      <c r="AH62" s="56" t="s">
        <v>48</v>
      </c>
      <c r="AI62" s="56" t="s">
        <v>48</v>
      </c>
      <c r="AJ62" s="56" t="s">
        <v>48</v>
      </c>
      <c r="AK62" s="56" t="s">
        <v>48</v>
      </c>
      <c r="AL62" s="56" t="s">
        <v>48</v>
      </c>
      <c r="AM62" s="56" t="s">
        <v>48</v>
      </c>
      <c r="AN62" s="56" t="s">
        <v>48</v>
      </c>
      <c r="AO62" s="56" t="s">
        <v>48</v>
      </c>
      <c r="AP62" s="56" t="s">
        <v>48</v>
      </c>
      <c r="AQ62" s="56" t="s">
        <v>48</v>
      </c>
      <c r="AR62" s="56" t="s">
        <v>48</v>
      </c>
      <c r="AS62" s="56" t="s">
        <v>48</v>
      </c>
      <c r="AT62" s="56" t="s">
        <v>48</v>
      </c>
      <c r="AU62" s="56" t="s">
        <v>48</v>
      </c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46">
        <f t="shared" si="2"/>
        <v>38</v>
      </c>
      <c r="CB62" s="52">
        <f t="shared" si="1"/>
        <v>88.372093023255815</v>
      </c>
    </row>
    <row r="63" spans="1:80" ht="16.5" customHeight="1">
      <c r="A63" s="50">
        <v>56</v>
      </c>
      <c r="B63" s="32">
        <v>2023056</v>
      </c>
      <c r="C63" s="32" t="s">
        <v>147</v>
      </c>
      <c r="D63" s="35"/>
      <c r="E63" s="56" t="s">
        <v>16</v>
      </c>
      <c r="F63" s="56" t="s">
        <v>16</v>
      </c>
      <c r="G63" s="56" t="s">
        <v>16</v>
      </c>
      <c r="H63" s="56" t="s">
        <v>16</v>
      </c>
      <c r="I63" s="56" t="s">
        <v>16</v>
      </c>
      <c r="J63" s="56" t="s">
        <v>16</v>
      </c>
      <c r="K63" s="56" t="s">
        <v>16</v>
      </c>
      <c r="L63" s="56" t="s">
        <v>16</v>
      </c>
      <c r="M63" s="56" t="s">
        <v>16</v>
      </c>
      <c r="N63" s="56" t="s">
        <v>16</v>
      </c>
      <c r="O63" s="56" t="s">
        <v>16</v>
      </c>
      <c r="P63" s="56" t="s">
        <v>16</v>
      </c>
      <c r="Q63" s="56" t="s">
        <v>16</v>
      </c>
      <c r="R63" s="56" t="s">
        <v>16</v>
      </c>
      <c r="S63" s="56" t="s">
        <v>16</v>
      </c>
      <c r="T63" s="56" t="s">
        <v>16</v>
      </c>
      <c r="U63" s="56" t="s">
        <v>16</v>
      </c>
      <c r="V63" s="56" t="s">
        <v>16</v>
      </c>
      <c r="W63" s="56" t="s">
        <v>16</v>
      </c>
      <c r="X63" s="56" t="s">
        <v>16</v>
      </c>
      <c r="Y63" s="56" t="s">
        <v>16</v>
      </c>
      <c r="Z63" s="56" t="s">
        <v>48</v>
      </c>
      <c r="AA63" s="56" t="s">
        <v>16</v>
      </c>
      <c r="AB63" s="56" t="s">
        <v>16</v>
      </c>
      <c r="AC63" s="56" t="s">
        <v>48</v>
      </c>
      <c r="AD63" s="56" t="s">
        <v>48</v>
      </c>
      <c r="AE63" s="56" t="s">
        <v>48</v>
      </c>
      <c r="AF63" s="56" t="s">
        <v>48</v>
      </c>
      <c r="AG63" s="56" t="s">
        <v>16</v>
      </c>
      <c r="AH63" s="56" t="s">
        <v>16</v>
      </c>
      <c r="AI63" s="56" t="s">
        <v>48</v>
      </c>
      <c r="AJ63" s="56" t="s">
        <v>48</v>
      </c>
      <c r="AK63" s="56" t="s">
        <v>16</v>
      </c>
      <c r="AL63" s="56" t="s">
        <v>16</v>
      </c>
      <c r="AM63" s="56" t="s">
        <v>16</v>
      </c>
      <c r="AN63" s="56" t="s">
        <v>48</v>
      </c>
      <c r="AO63" s="56" t="s">
        <v>48</v>
      </c>
      <c r="AP63" s="56" t="s">
        <v>48</v>
      </c>
      <c r="AQ63" s="56" t="s">
        <v>16</v>
      </c>
      <c r="AR63" s="56" t="s">
        <v>16</v>
      </c>
      <c r="AS63" s="56" t="s">
        <v>16</v>
      </c>
      <c r="AT63" s="56" t="s">
        <v>48</v>
      </c>
      <c r="AU63" s="56" t="s">
        <v>48</v>
      </c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46">
        <f t="shared" si="2"/>
        <v>12</v>
      </c>
      <c r="CB63" s="52">
        <f t="shared" si="1"/>
        <v>27.906976744186046</v>
      </c>
    </row>
    <row r="64" spans="1:80" ht="16.5" customHeight="1">
      <c r="A64" s="50">
        <v>57</v>
      </c>
      <c r="B64" s="32">
        <v>2023057</v>
      </c>
      <c r="C64" s="32" t="s">
        <v>148</v>
      </c>
      <c r="D64" s="36"/>
      <c r="E64" s="56" t="s">
        <v>48</v>
      </c>
      <c r="F64" s="56" t="s">
        <v>48</v>
      </c>
      <c r="G64" s="56" t="s">
        <v>48</v>
      </c>
      <c r="H64" s="56" t="s">
        <v>48</v>
      </c>
      <c r="I64" s="56" t="s">
        <v>48</v>
      </c>
      <c r="J64" s="56" t="s">
        <v>48</v>
      </c>
      <c r="K64" s="56" t="s">
        <v>48</v>
      </c>
      <c r="L64" s="56" t="s">
        <v>48</v>
      </c>
      <c r="M64" s="56" t="s">
        <v>48</v>
      </c>
      <c r="N64" s="56" t="s">
        <v>48</v>
      </c>
      <c r="O64" s="56" t="s">
        <v>48</v>
      </c>
      <c r="P64" s="56" t="s">
        <v>16</v>
      </c>
      <c r="Q64" s="56" t="s">
        <v>48</v>
      </c>
      <c r="R64" s="56" t="s">
        <v>48</v>
      </c>
      <c r="S64" s="56" t="s">
        <v>16</v>
      </c>
      <c r="T64" s="56" t="s">
        <v>16</v>
      </c>
      <c r="U64" s="56" t="s">
        <v>48</v>
      </c>
      <c r="V64" s="56" t="s">
        <v>48</v>
      </c>
      <c r="W64" s="56" t="s">
        <v>48</v>
      </c>
      <c r="X64" s="56" t="s">
        <v>48</v>
      </c>
      <c r="Y64" s="56" t="s">
        <v>48</v>
      </c>
      <c r="Z64" s="56" t="s">
        <v>48</v>
      </c>
      <c r="AA64" s="56" t="s">
        <v>16</v>
      </c>
      <c r="AB64" s="56" t="s">
        <v>48</v>
      </c>
      <c r="AC64" s="56" t="s">
        <v>48</v>
      </c>
      <c r="AD64" s="56" t="s">
        <v>48</v>
      </c>
      <c r="AE64" s="56" t="s">
        <v>48</v>
      </c>
      <c r="AF64" s="56" t="s">
        <v>48</v>
      </c>
      <c r="AG64" s="56" t="s">
        <v>48</v>
      </c>
      <c r="AH64" s="56" t="s">
        <v>48</v>
      </c>
      <c r="AI64" s="56" t="s">
        <v>16</v>
      </c>
      <c r="AJ64" s="56" t="s">
        <v>48</v>
      </c>
      <c r="AK64" s="56" t="s">
        <v>48</v>
      </c>
      <c r="AL64" s="56" t="s">
        <v>48</v>
      </c>
      <c r="AM64" s="56" t="s">
        <v>48</v>
      </c>
      <c r="AN64" s="56" t="s">
        <v>48</v>
      </c>
      <c r="AO64" s="56" t="s">
        <v>16</v>
      </c>
      <c r="AP64" s="56" t="s">
        <v>48</v>
      </c>
      <c r="AQ64" s="56" t="s">
        <v>48</v>
      </c>
      <c r="AR64" s="56" t="s">
        <v>16</v>
      </c>
      <c r="AS64" s="56" t="s">
        <v>48</v>
      </c>
      <c r="AT64" s="56" t="s">
        <v>48</v>
      </c>
      <c r="AU64" s="56" t="s">
        <v>48</v>
      </c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46">
        <f t="shared" si="2"/>
        <v>36</v>
      </c>
      <c r="CB64" s="52">
        <f t="shared" si="1"/>
        <v>83.720930232558146</v>
      </c>
    </row>
    <row r="65" spans="1:80" ht="16.5" customHeight="1">
      <c r="A65" s="50">
        <v>58</v>
      </c>
      <c r="B65" s="32">
        <v>2023058</v>
      </c>
      <c r="C65" s="32" t="s">
        <v>149</v>
      </c>
      <c r="D65" s="36"/>
      <c r="E65" s="56" t="s">
        <v>16</v>
      </c>
      <c r="F65" s="56" t="s">
        <v>48</v>
      </c>
      <c r="G65" s="56" t="s">
        <v>48</v>
      </c>
      <c r="H65" s="56" t="s">
        <v>16</v>
      </c>
      <c r="I65" s="56" t="s">
        <v>16</v>
      </c>
      <c r="J65" s="56" t="s">
        <v>48</v>
      </c>
      <c r="K65" s="56" t="s">
        <v>48</v>
      </c>
      <c r="L65" s="56" t="s">
        <v>16</v>
      </c>
      <c r="M65" s="56" t="s">
        <v>48</v>
      </c>
      <c r="N65" s="56" t="s">
        <v>48</v>
      </c>
      <c r="O65" s="56" t="s">
        <v>48</v>
      </c>
      <c r="P65" s="56" t="s">
        <v>48</v>
      </c>
      <c r="Q65" s="56" t="s">
        <v>48</v>
      </c>
      <c r="R65" s="56" t="s">
        <v>48</v>
      </c>
      <c r="S65" s="56" t="s">
        <v>16</v>
      </c>
      <c r="T65" s="56" t="s">
        <v>48</v>
      </c>
      <c r="U65" s="56" t="s">
        <v>48</v>
      </c>
      <c r="V65" s="56" t="s">
        <v>48</v>
      </c>
      <c r="W65" s="56" t="s">
        <v>16</v>
      </c>
      <c r="X65" s="56" t="s">
        <v>16</v>
      </c>
      <c r="Y65" s="56" t="s">
        <v>16</v>
      </c>
      <c r="Z65" s="56" t="s">
        <v>16</v>
      </c>
      <c r="AA65" s="56" t="s">
        <v>48</v>
      </c>
      <c r="AB65" s="56" t="s">
        <v>48</v>
      </c>
      <c r="AC65" s="56" t="s">
        <v>16</v>
      </c>
      <c r="AD65" s="56" t="s">
        <v>48</v>
      </c>
      <c r="AE65" s="56" t="s">
        <v>48</v>
      </c>
      <c r="AF65" s="56" t="s">
        <v>48</v>
      </c>
      <c r="AG65" s="56" t="s">
        <v>48</v>
      </c>
      <c r="AH65" s="56" t="s">
        <v>48</v>
      </c>
      <c r="AI65" s="56" t="s">
        <v>48</v>
      </c>
      <c r="AJ65" s="56" t="s">
        <v>48</v>
      </c>
      <c r="AK65" s="56" t="s">
        <v>48</v>
      </c>
      <c r="AL65" s="56" t="s">
        <v>48</v>
      </c>
      <c r="AM65" s="56" t="s">
        <v>48</v>
      </c>
      <c r="AN65" s="56" t="s">
        <v>48</v>
      </c>
      <c r="AO65" s="56" t="s">
        <v>48</v>
      </c>
      <c r="AP65" s="56" t="s">
        <v>48</v>
      </c>
      <c r="AQ65" s="56" t="s">
        <v>48</v>
      </c>
      <c r="AR65" s="56" t="s">
        <v>48</v>
      </c>
      <c r="AS65" s="56" t="s">
        <v>48</v>
      </c>
      <c r="AT65" s="56" t="s">
        <v>48</v>
      </c>
      <c r="AU65" s="56" t="s">
        <v>48</v>
      </c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46">
        <f t="shared" si="2"/>
        <v>33</v>
      </c>
      <c r="CB65" s="52">
        <f t="shared" si="1"/>
        <v>76.744186046511629</v>
      </c>
    </row>
    <row r="66" spans="1:80" ht="16.5" customHeight="1">
      <c r="A66" s="50">
        <v>59</v>
      </c>
      <c r="B66" s="32">
        <v>2023059</v>
      </c>
      <c r="C66" s="32" t="s">
        <v>150</v>
      </c>
      <c r="D66" s="36"/>
      <c r="E66" s="56" t="s">
        <v>48</v>
      </c>
      <c r="F66" s="56" t="s">
        <v>48</v>
      </c>
      <c r="G66" s="56" t="s">
        <v>48</v>
      </c>
      <c r="H66" s="56" t="s">
        <v>48</v>
      </c>
      <c r="I66" s="56" t="s">
        <v>48</v>
      </c>
      <c r="J66" s="56" t="s">
        <v>48</v>
      </c>
      <c r="K66" s="56" t="s">
        <v>16</v>
      </c>
      <c r="L66" s="56" t="s">
        <v>48</v>
      </c>
      <c r="M66" s="56" t="s">
        <v>48</v>
      </c>
      <c r="N66" s="56" t="s">
        <v>48</v>
      </c>
      <c r="O66" s="56" t="s">
        <v>48</v>
      </c>
      <c r="P66" s="56" t="s">
        <v>48</v>
      </c>
      <c r="Q66" s="56" t="s">
        <v>48</v>
      </c>
      <c r="R66" s="56" t="s">
        <v>16</v>
      </c>
      <c r="S66" s="56" t="s">
        <v>48</v>
      </c>
      <c r="T66" s="56" t="s">
        <v>48</v>
      </c>
      <c r="U66" s="56" t="s">
        <v>48</v>
      </c>
      <c r="V66" s="56" t="s">
        <v>48</v>
      </c>
      <c r="W66" s="56" t="s">
        <v>48</v>
      </c>
      <c r="X66" s="56" t="s">
        <v>16</v>
      </c>
      <c r="Y66" s="56" t="s">
        <v>48</v>
      </c>
      <c r="Z66" s="56" t="s">
        <v>48</v>
      </c>
      <c r="AA66" s="56" t="s">
        <v>48</v>
      </c>
      <c r="AB66" s="56" t="s">
        <v>48</v>
      </c>
      <c r="AC66" s="56" t="s">
        <v>48</v>
      </c>
      <c r="AD66" s="56" t="s">
        <v>48</v>
      </c>
      <c r="AE66" s="56" t="s">
        <v>48</v>
      </c>
      <c r="AF66" s="56" t="s">
        <v>48</v>
      </c>
      <c r="AG66" s="56" t="s">
        <v>48</v>
      </c>
      <c r="AH66" s="56" t="s">
        <v>48</v>
      </c>
      <c r="AI66" s="56" t="s">
        <v>48</v>
      </c>
      <c r="AJ66" s="56" t="s">
        <v>48</v>
      </c>
      <c r="AK66" s="56" t="s">
        <v>48</v>
      </c>
      <c r="AL66" s="56" t="s">
        <v>48</v>
      </c>
      <c r="AM66" s="56" t="s">
        <v>48</v>
      </c>
      <c r="AN66" s="56" t="s">
        <v>48</v>
      </c>
      <c r="AO66" s="56" t="s">
        <v>48</v>
      </c>
      <c r="AP66" s="56" t="s">
        <v>48</v>
      </c>
      <c r="AQ66" s="56" t="s">
        <v>48</v>
      </c>
      <c r="AR66" s="56" t="s">
        <v>48</v>
      </c>
      <c r="AS66" s="56" t="s">
        <v>48</v>
      </c>
      <c r="AT66" s="56" t="s">
        <v>48</v>
      </c>
      <c r="AU66" s="56" t="s">
        <v>48</v>
      </c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46">
        <f t="shared" si="2"/>
        <v>40</v>
      </c>
      <c r="CB66" s="52">
        <f t="shared" si="1"/>
        <v>93.023255813953483</v>
      </c>
    </row>
    <row r="67" spans="1:80" ht="16.5" customHeight="1">
      <c r="A67" s="50">
        <v>60</v>
      </c>
      <c r="B67" s="32">
        <v>2023060</v>
      </c>
      <c r="C67" s="32" t="s">
        <v>151</v>
      </c>
      <c r="D67" s="36"/>
      <c r="E67" s="56" t="s">
        <v>16</v>
      </c>
      <c r="F67" s="56" t="s">
        <v>16</v>
      </c>
      <c r="G67" s="56" t="s">
        <v>48</v>
      </c>
      <c r="H67" s="56" t="s">
        <v>48</v>
      </c>
      <c r="I67" s="56" t="s">
        <v>48</v>
      </c>
      <c r="J67" s="56" t="s">
        <v>48</v>
      </c>
      <c r="K67" s="56" t="s">
        <v>16</v>
      </c>
      <c r="L67" s="56" t="s">
        <v>16</v>
      </c>
      <c r="M67" s="56" t="s">
        <v>16</v>
      </c>
      <c r="N67" s="56" t="s">
        <v>16</v>
      </c>
      <c r="O67" s="56" t="s">
        <v>48</v>
      </c>
      <c r="P67" s="56" t="s">
        <v>16</v>
      </c>
      <c r="Q67" s="56" t="s">
        <v>16</v>
      </c>
      <c r="R67" s="56" t="s">
        <v>16</v>
      </c>
      <c r="S67" s="56" t="s">
        <v>16</v>
      </c>
      <c r="T67" s="56" t="s">
        <v>16</v>
      </c>
      <c r="U67" s="56" t="s">
        <v>16</v>
      </c>
      <c r="V67" s="56" t="s">
        <v>48</v>
      </c>
      <c r="W67" s="56" t="s">
        <v>48</v>
      </c>
      <c r="X67" s="56" t="s">
        <v>16</v>
      </c>
      <c r="Y67" s="56" t="s">
        <v>16</v>
      </c>
      <c r="Z67" s="56" t="s">
        <v>48</v>
      </c>
      <c r="AA67" s="56" t="s">
        <v>48</v>
      </c>
      <c r="AB67" s="56" t="s">
        <v>48</v>
      </c>
      <c r="AC67" s="56" t="s">
        <v>48</v>
      </c>
      <c r="AD67" s="56" t="s">
        <v>48</v>
      </c>
      <c r="AE67" s="56" t="s">
        <v>48</v>
      </c>
      <c r="AF67" s="56" t="s">
        <v>48</v>
      </c>
      <c r="AG67" s="56" t="s">
        <v>16</v>
      </c>
      <c r="AH67" s="56" t="s">
        <v>16</v>
      </c>
      <c r="AI67" s="56" t="s">
        <v>16</v>
      </c>
      <c r="AJ67" s="56" t="s">
        <v>48</v>
      </c>
      <c r="AK67" s="56" t="s">
        <v>16</v>
      </c>
      <c r="AL67" s="56" t="s">
        <v>16</v>
      </c>
      <c r="AM67" s="56" t="s">
        <v>16</v>
      </c>
      <c r="AN67" s="56" t="s">
        <v>48</v>
      </c>
      <c r="AO67" s="56" t="s">
        <v>48</v>
      </c>
      <c r="AP67" s="56" t="s">
        <v>48</v>
      </c>
      <c r="AQ67" s="56" t="s">
        <v>16</v>
      </c>
      <c r="AR67" s="56" t="s">
        <v>48</v>
      </c>
      <c r="AS67" s="56" t="s">
        <v>48</v>
      </c>
      <c r="AT67" s="56" t="s">
        <v>48</v>
      </c>
      <c r="AU67" s="56" t="s">
        <v>48</v>
      </c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46">
        <f t="shared" si="2"/>
        <v>22</v>
      </c>
      <c r="CB67" s="52">
        <f t="shared" si="1"/>
        <v>51.162790697674417</v>
      </c>
    </row>
    <row r="68" spans="1:80" ht="16.5" customHeight="1">
      <c r="A68" s="50">
        <v>61</v>
      </c>
      <c r="B68" s="32">
        <v>2023061</v>
      </c>
      <c r="C68" s="32" t="s">
        <v>152</v>
      </c>
      <c r="D68" s="36"/>
      <c r="E68" s="56" t="s">
        <v>16</v>
      </c>
      <c r="F68" s="56" t="s">
        <v>16</v>
      </c>
      <c r="G68" s="56" t="s">
        <v>48</v>
      </c>
      <c r="H68" s="56" t="s">
        <v>16</v>
      </c>
      <c r="I68" s="56" t="s">
        <v>16</v>
      </c>
      <c r="J68" s="56" t="s">
        <v>48</v>
      </c>
      <c r="K68" s="56" t="s">
        <v>48</v>
      </c>
      <c r="L68" s="56" t="s">
        <v>16</v>
      </c>
      <c r="M68" s="56" t="s">
        <v>16</v>
      </c>
      <c r="N68" s="56" t="s">
        <v>48</v>
      </c>
      <c r="O68" s="56" t="s">
        <v>48</v>
      </c>
      <c r="P68" s="56" t="s">
        <v>48</v>
      </c>
      <c r="Q68" s="56" t="s">
        <v>16</v>
      </c>
      <c r="R68" s="56" t="s">
        <v>48</v>
      </c>
      <c r="S68" s="56" t="s">
        <v>48</v>
      </c>
      <c r="T68" s="56" t="s">
        <v>48</v>
      </c>
      <c r="U68" s="56" t="s">
        <v>48</v>
      </c>
      <c r="V68" s="56" t="s">
        <v>48</v>
      </c>
      <c r="W68" s="56" t="s">
        <v>48</v>
      </c>
      <c r="X68" s="56" t="s">
        <v>16</v>
      </c>
      <c r="Y68" s="56" t="s">
        <v>48</v>
      </c>
      <c r="Z68" s="56" t="s">
        <v>48</v>
      </c>
      <c r="AA68" s="56" t="s">
        <v>48</v>
      </c>
      <c r="AB68" s="56" t="s">
        <v>16</v>
      </c>
      <c r="AC68" s="56" t="s">
        <v>48</v>
      </c>
      <c r="AD68" s="56" t="s">
        <v>48</v>
      </c>
      <c r="AE68" s="56" t="s">
        <v>48</v>
      </c>
      <c r="AF68" s="56" t="s">
        <v>48</v>
      </c>
      <c r="AG68" s="56" t="s">
        <v>16</v>
      </c>
      <c r="AH68" s="56" t="s">
        <v>48</v>
      </c>
      <c r="AI68" s="56" t="s">
        <v>16</v>
      </c>
      <c r="AJ68" s="56" t="s">
        <v>16</v>
      </c>
      <c r="AK68" s="56" t="s">
        <v>16</v>
      </c>
      <c r="AL68" s="56" t="s">
        <v>16</v>
      </c>
      <c r="AM68" s="56" t="s">
        <v>48</v>
      </c>
      <c r="AN68" s="56" t="s">
        <v>48</v>
      </c>
      <c r="AO68" s="56" t="s">
        <v>48</v>
      </c>
      <c r="AP68" s="56" t="s">
        <v>48</v>
      </c>
      <c r="AQ68" s="56" t="s">
        <v>16</v>
      </c>
      <c r="AR68" s="56" t="s">
        <v>48</v>
      </c>
      <c r="AS68" s="56" t="s">
        <v>48</v>
      </c>
      <c r="AT68" s="56" t="s">
        <v>48</v>
      </c>
      <c r="AU68" s="56" t="s">
        <v>48</v>
      </c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46">
        <f t="shared" si="2"/>
        <v>28</v>
      </c>
      <c r="CB68" s="52">
        <f t="shared" si="1"/>
        <v>65.116279069767444</v>
      </c>
    </row>
    <row r="69" spans="1:80" ht="16.5" customHeight="1">
      <c r="A69" s="50">
        <v>62</v>
      </c>
      <c r="B69" s="32">
        <v>2023062</v>
      </c>
      <c r="C69" s="32" t="s">
        <v>153</v>
      </c>
      <c r="D69" s="36"/>
      <c r="E69" s="56" t="s">
        <v>16</v>
      </c>
      <c r="F69" s="56" t="s">
        <v>16</v>
      </c>
      <c r="G69" s="56" t="s">
        <v>16</v>
      </c>
      <c r="H69" s="56" t="s">
        <v>16</v>
      </c>
      <c r="I69" s="56" t="s">
        <v>48</v>
      </c>
      <c r="J69" s="56" t="s">
        <v>16</v>
      </c>
      <c r="K69" s="56" t="s">
        <v>16</v>
      </c>
      <c r="L69" s="56" t="s">
        <v>16</v>
      </c>
      <c r="M69" s="56" t="s">
        <v>16</v>
      </c>
      <c r="N69" s="56" t="s">
        <v>16</v>
      </c>
      <c r="O69" s="56" t="s">
        <v>16</v>
      </c>
      <c r="P69" s="56" t="s">
        <v>16</v>
      </c>
      <c r="Q69" s="56" t="s">
        <v>16</v>
      </c>
      <c r="R69" s="56" t="s">
        <v>16</v>
      </c>
      <c r="S69" s="56" t="s">
        <v>16</v>
      </c>
      <c r="T69" s="56" t="s">
        <v>16</v>
      </c>
      <c r="U69" s="56" t="s">
        <v>16</v>
      </c>
      <c r="V69" s="56" t="s">
        <v>16</v>
      </c>
      <c r="W69" s="56" t="s">
        <v>48</v>
      </c>
      <c r="X69" s="56" t="s">
        <v>16</v>
      </c>
      <c r="Y69" s="56" t="s">
        <v>16</v>
      </c>
      <c r="Z69" s="56" t="s">
        <v>16</v>
      </c>
      <c r="AA69" s="56" t="s">
        <v>16</v>
      </c>
      <c r="AB69" s="56" t="s">
        <v>16</v>
      </c>
      <c r="AC69" s="56" t="s">
        <v>16</v>
      </c>
      <c r="AD69" s="56" t="s">
        <v>16</v>
      </c>
      <c r="AE69" s="56" t="s">
        <v>16</v>
      </c>
      <c r="AF69" s="56" t="s">
        <v>16</v>
      </c>
      <c r="AG69" s="56" t="s">
        <v>16</v>
      </c>
      <c r="AH69" s="56" t="s">
        <v>16</v>
      </c>
      <c r="AI69" s="56" t="s">
        <v>16</v>
      </c>
      <c r="AJ69" s="56" t="s">
        <v>16</v>
      </c>
      <c r="AK69" s="56" t="s">
        <v>16</v>
      </c>
      <c r="AL69" s="56" t="s">
        <v>16</v>
      </c>
      <c r="AM69" s="56" t="s">
        <v>16</v>
      </c>
      <c r="AN69" s="56" t="s">
        <v>16</v>
      </c>
      <c r="AO69" s="56" t="s">
        <v>16</v>
      </c>
      <c r="AP69" s="56" t="s">
        <v>16</v>
      </c>
      <c r="AQ69" s="56" t="s">
        <v>16</v>
      </c>
      <c r="AR69" s="56" t="s">
        <v>16</v>
      </c>
      <c r="AS69" s="56" t="s">
        <v>16</v>
      </c>
      <c r="AT69" s="56" t="s">
        <v>16</v>
      </c>
      <c r="AU69" s="56" t="s">
        <v>16</v>
      </c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46">
        <f t="shared" si="2"/>
        <v>2</v>
      </c>
      <c r="CB69" s="52">
        <f t="shared" si="1"/>
        <v>4.6511627906976747</v>
      </c>
    </row>
    <row r="70" spans="1:80" ht="16.5" customHeight="1">
      <c r="A70" s="50">
        <v>63</v>
      </c>
      <c r="B70" s="32">
        <v>2023063</v>
      </c>
      <c r="C70" s="32" t="s">
        <v>154</v>
      </c>
      <c r="D70" s="36"/>
      <c r="E70" s="56" t="s">
        <v>48</v>
      </c>
      <c r="F70" s="56" t="s">
        <v>48</v>
      </c>
      <c r="G70" s="56" t="s">
        <v>48</v>
      </c>
      <c r="H70" s="56" t="s">
        <v>16</v>
      </c>
      <c r="I70" s="56" t="s">
        <v>48</v>
      </c>
      <c r="J70" s="56" t="s">
        <v>48</v>
      </c>
      <c r="K70" s="56" t="s">
        <v>48</v>
      </c>
      <c r="L70" s="56" t="s">
        <v>48</v>
      </c>
      <c r="M70" s="56" t="s">
        <v>16</v>
      </c>
      <c r="N70" s="56" t="s">
        <v>48</v>
      </c>
      <c r="O70" s="56" t="s">
        <v>48</v>
      </c>
      <c r="P70" s="56" t="s">
        <v>48</v>
      </c>
      <c r="Q70" s="56" t="s">
        <v>48</v>
      </c>
      <c r="R70" s="56" t="s">
        <v>48</v>
      </c>
      <c r="S70" s="56" t="s">
        <v>48</v>
      </c>
      <c r="T70" s="56" t="s">
        <v>48</v>
      </c>
      <c r="U70" s="56" t="s">
        <v>48</v>
      </c>
      <c r="V70" s="56" t="s">
        <v>48</v>
      </c>
      <c r="W70" s="56" t="s">
        <v>48</v>
      </c>
      <c r="X70" s="56" t="s">
        <v>16</v>
      </c>
      <c r="Y70" s="56" t="s">
        <v>48</v>
      </c>
      <c r="Z70" s="56" t="s">
        <v>48</v>
      </c>
      <c r="AA70" s="56" t="s">
        <v>48</v>
      </c>
      <c r="AB70" s="56" t="s">
        <v>16</v>
      </c>
      <c r="AC70" s="56" t="s">
        <v>48</v>
      </c>
      <c r="AD70" s="56" t="s">
        <v>48</v>
      </c>
      <c r="AE70" s="56" t="s">
        <v>48</v>
      </c>
      <c r="AF70" s="56" t="s">
        <v>48</v>
      </c>
      <c r="AG70" s="56" t="s">
        <v>16</v>
      </c>
      <c r="AH70" s="56" t="s">
        <v>48</v>
      </c>
      <c r="AI70" s="56" t="s">
        <v>48</v>
      </c>
      <c r="AJ70" s="56" t="s">
        <v>16</v>
      </c>
      <c r="AK70" s="56" t="s">
        <v>48</v>
      </c>
      <c r="AL70" s="56" t="s">
        <v>48</v>
      </c>
      <c r="AM70" s="56" t="s">
        <v>48</v>
      </c>
      <c r="AN70" s="56" t="s">
        <v>48</v>
      </c>
      <c r="AO70" s="56" t="s">
        <v>48</v>
      </c>
      <c r="AP70" s="56" t="s">
        <v>48</v>
      </c>
      <c r="AQ70" s="56" t="s">
        <v>16</v>
      </c>
      <c r="AR70" s="56" t="s">
        <v>48</v>
      </c>
      <c r="AS70" s="56" t="s">
        <v>48</v>
      </c>
      <c r="AT70" s="56" t="s">
        <v>48</v>
      </c>
      <c r="AU70" s="56" t="s">
        <v>48</v>
      </c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46">
        <f t="shared" si="2"/>
        <v>36</v>
      </c>
      <c r="CB70" s="52">
        <f t="shared" si="1"/>
        <v>83.720930232558146</v>
      </c>
    </row>
    <row r="71" spans="1:80" ht="16.5" customHeight="1">
      <c r="A71" s="50">
        <v>64</v>
      </c>
      <c r="B71" s="32">
        <v>2023064</v>
      </c>
      <c r="C71" s="32" t="s">
        <v>155</v>
      </c>
      <c r="D71" s="36"/>
      <c r="E71" s="56" t="s">
        <v>16</v>
      </c>
      <c r="F71" s="56" t="s">
        <v>16</v>
      </c>
      <c r="G71" s="56" t="s">
        <v>48</v>
      </c>
      <c r="H71" s="56" t="s">
        <v>16</v>
      </c>
      <c r="I71" s="56" t="s">
        <v>48</v>
      </c>
      <c r="J71" s="56" t="s">
        <v>16</v>
      </c>
      <c r="K71" s="56" t="s">
        <v>16</v>
      </c>
      <c r="L71" s="56" t="s">
        <v>16</v>
      </c>
      <c r="M71" s="56" t="s">
        <v>16</v>
      </c>
      <c r="N71" s="56" t="s">
        <v>48</v>
      </c>
      <c r="O71" s="56" t="s">
        <v>48</v>
      </c>
      <c r="P71" s="56" t="s">
        <v>16</v>
      </c>
      <c r="Q71" s="56" t="s">
        <v>48</v>
      </c>
      <c r="R71" s="56" t="s">
        <v>16</v>
      </c>
      <c r="S71" s="56" t="s">
        <v>48</v>
      </c>
      <c r="T71" s="56" t="s">
        <v>48</v>
      </c>
      <c r="U71" s="56" t="s">
        <v>16</v>
      </c>
      <c r="V71" s="56" t="s">
        <v>48</v>
      </c>
      <c r="W71" s="56" t="s">
        <v>48</v>
      </c>
      <c r="X71" s="56" t="s">
        <v>48</v>
      </c>
      <c r="Y71" s="56" t="s">
        <v>48</v>
      </c>
      <c r="Z71" s="56" t="s">
        <v>48</v>
      </c>
      <c r="AA71" s="56" t="s">
        <v>48</v>
      </c>
      <c r="AB71" s="56" t="s">
        <v>48</v>
      </c>
      <c r="AC71" s="56" t="s">
        <v>16</v>
      </c>
      <c r="AD71" s="56" t="s">
        <v>16</v>
      </c>
      <c r="AE71" s="56" t="s">
        <v>16</v>
      </c>
      <c r="AF71" s="56" t="s">
        <v>16</v>
      </c>
      <c r="AG71" s="56" t="s">
        <v>16</v>
      </c>
      <c r="AH71" s="56" t="s">
        <v>16</v>
      </c>
      <c r="AI71" s="56" t="s">
        <v>48</v>
      </c>
      <c r="AJ71" s="56" t="s">
        <v>16</v>
      </c>
      <c r="AK71" s="56" t="s">
        <v>48</v>
      </c>
      <c r="AL71" s="56" t="s">
        <v>48</v>
      </c>
      <c r="AM71" s="56" t="s">
        <v>48</v>
      </c>
      <c r="AN71" s="56" t="s">
        <v>16</v>
      </c>
      <c r="AO71" s="56" t="s">
        <v>48</v>
      </c>
      <c r="AP71" s="56" t="s">
        <v>16</v>
      </c>
      <c r="AQ71" s="56" t="s">
        <v>16</v>
      </c>
      <c r="AR71" s="56" t="s">
        <v>48</v>
      </c>
      <c r="AS71" s="56" t="s">
        <v>48</v>
      </c>
      <c r="AT71" s="56" t="s">
        <v>48</v>
      </c>
      <c r="AU71" s="56" t="s">
        <v>48</v>
      </c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46">
        <f t="shared" si="2"/>
        <v>23</v>
      </c>
      <c r="CB71" s="52">
        <f t="shared" si="1"/>
        <v>53.488372093023258</v>
      </c>
    </row>
    <row r="72" spans="1:80" ht="16.5" customHeight="1">
      <c r="A72" s="50">
        <v>65</v>
      </c>
      <c r="B72" s="32">
        <v>2023065</v>
      </c>
      <c r="C72" s="32" t="s">
        <v>47</v>
      </c>
      <c r="D72" s="36"/>
      <c r="E72" s="56" t="s">
        <v>48</v>
      </c>
      <c r="F72" s="56" t="s">
        <v>48</v>
      </c>
      <c r="G72" s="56" t="s">
        <v>48</v>
      </c>
      <c r="H72" s="56" t="s">
        <v>48</v>
      </c>
      <c r="I72" s="56" t="s">
        <v>48</v>
      </c>
      <c r="J72" s="56" t="s">
        <v>48</v>
      </c>
      <c r="K72" s="56" t="s">
        <v>48</v>
      </c>
      <c r="L72" s="56" t="s">
        <v>48</v>
      </c>
      <c r="M72" s="56" t="s">
        <v>48</v>
      </c>
      <c r="N72" s="56" t="s">
        <v>48</v>
      </c>
      <c r="O72" s="56" t="s">
        <v>48</v>
      </c>
      <c r="P72" s="56" t="s">
        <v>48</v>
      </c>
      <c r="Q72" s="56" t="s">
        <v>48</v>
      </c>
      <c r="R72" s="56" t="s">
        <v>48</v>
      </c>
      <c r="S72" s="56" t="s">
        <v>48</v>
      </c>
      <c r="T72" s="56" t="s">
        <v>48</v>
      </c>
      <c r="U72" s="56" t="s">
        <v>48</v>
      </c>
      <c r="V72" s="56" t="s">
        <v>48</v>
      </c>
      <c r="W72" s="56" t="s">
        <v>16</v>
      </c>
      <c r="X72" s="56" t="s">
        <v>48</v>
      </c>
      <c r="Y72" s="56" t="s">
        <v>48</v>
      </c>
      <c r="Z72" s="56" t="s">
        <v>48</v>
      </c>
      <c r="AA72" s="56" t="s">
        <v>16</v>
      </c>
      <c r="AB72" s="56" t="s">
        <v>48</v>
      </c>
      <c r="AC72" s="56" t="s">
        <v>48</v>
      </c>
      <c r="AD72" s="56" t="s">
        <v>48</v>
      </c>
      <c r="AE72" s="56" t="s">
        <v>48</v>
      </c>
      <c r="AF72" s="56" t="s">
        <v>48</v>
      </c>
      <c r="AG72" s="56" t="s">
        <v>16</v>
      </c>
      <c r="AH72" s="56" t="s">
        <v>16</v>
      </c>
      <c r="AI72" s="56" t="s">
        <v>48</v>
      </c>
      <c r="AJ72" s="56" t="s">
        <v>16</v>
      </c>
      <c r="AK72" s="56" t="s">
        <v>48</v>
      </c>
      <c r="AL72" s="56" t="s">
        <v>48</v>
      </c>
      <c r="AM72" s="56" t="s">
        <v>48</v>
      </c>
      <c r="AN72" s="56" t="s">
        <v>48</v>
      </c>
      <c r="AO72" s="56" t="s">
        <v>48</v>
      </c>
      <c r="AP72" s="56" t="s">
        <v>48</v>
      </c>
      <c r="AQ72" s="56" t="s">
        <v>16</v>
      </c>
      <c r="AR72" s="56" t="s">
        <v>48</v>
      </c>
      <c r="AS72" s="56" t="s">
        <v>48</v>
      </c>
      <c r="AT72" s="56" t="s">
        <v>48</v>
      </c>
      <c r="AU72" s="56" t="s">
        <v>48</v>
      </c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46">
        <f t="shared" ref="CA72:CA82" si="3">COUNTIF(E72:AU72,"P")</f>
        <v>37</v>
      </c>
      <c r="CB72" s="52">
        <f t="shared" si="1"/>
        <v>86.04651162790698</v>
      </c>
    </row>
    <row r="73" spans="1:80" ht="16.5" customHeight="1">
      <c r="A73" s="50">
        <v>66</v>
      </c>
      <c r="B73" s="32">
        <v>2023066</v>
      </c>
      <c r="C73" s="32" t="s">
        <v>156</v>
      </c>
      <c r="D73" s="36"/>
      <c r="E73" s="56" t="s">
        <v>48</v>
      </c>
      <c r="F73" s="56" t="s">
        <v>48</v>
      </c>
      <c r="G73" s="56" t="s">
        <v>48</v>
      </c>
      <c r="H73" s="56" t="s">
        <v>48</v>
      </c>
      <c r="I73" s="56" t="s">
        <v>48</v>
      </c>
      <c r="J73" s="56" t="s">
        <v>48</v>
      </c>
      <c r="K73" s="56" t="s">
        <v>48</v>
      </c>
      <c r="L73" s="56" t="s">
        <v>48</v>
      </c>
      <c r="M73" s="56" t="s">
        <v>48</v>
      </c>
      <c r="N73" s="56" t="s">
        <v>48</v>
      </c>
      <c r="O73" s="56" t="s">
        <v>48</v>
      </c>
      <c r="P73" s="56" t="s">
        <v>48</v>
      </c>
      <c r="Q73" s="56" t="s">
        <v>48</v>
      </c>
      <c r="R73" s="56" t="s">
        <v>48</v>
      </c>
      <c r="S73" s="56" t="s">
        <v>16</v>
      </c>
      <c r="T73" s="56" t="s">
        <v>48</v>
      </c>
      <c r="U73" s="56" t="s">
        <v>48</v>
      </c>
      <c r="V73" s="56" t="s">
        <v>16</v>
      </c>
      <c r="W73" s="56" t="s">
        <v>48</v>
      </c>
      <c r="X73" s="56" t="s">
        <v>48</v>
      </c>
      <c r="Y73" s="56" t="s">
        <v>16</v>
      </c>
      <c r="Z73" s="56" t="s">
        <v>16</v>
      </c>
      <c r="AA73" s="56" t="s">
        <v>48</v>
      </c>
      <c r="AB73" s="56" t="s">
        <v>48</v>
      </c>
      <c r="AC73" s="56" t="s">
        <v>48</v>
      </c>
      <c r="AD73" s="56" t="s">
        <v>48</v>
      </c>
      <c r="AE73" s="56" t="s">
        <v>48</v>
      </c>
      <c r="AF73" s="56" t="s">
        <v>48</v>
      </c>
      <c r="AG73" s="56" t="s">
        <v>48</v>
      </c>
      <c r="AH73" s="56" t="s">
        <v>48</v>
      </c>
      <c r="AI73" s="56" t="s">
        <v>48</v>
      </c>
      <c r="AJ73" s="56" t="s">
        <v>48</v>
      </c>
      <c r="AK73" s="56" t="s">
        <v>48</v>
      </c>
      <c r="AL73" s="56" t="s">
        <v>48</v>
      </c>
      <c r="AM73" s="56" t="s">
        <v>48</v>
      </c>
      <c r="AN73" s="56" t="s">
        <v>48</v>
      </c>
      <c r="AO73" s="56" t="s">
        <v>48</v>
      </c>
      <c r="AP73" s="56" t="s">
        <v>48</v>
      </c>
      <c r="AQ73" s="56" t="s">
        <v>48</v>
      </c>
      <c r="AR73" s="56" t="s">
        <v>48</v>
      </c>
      <c r="AS73" s="56" t="s">
        <v>48</v>
      </c>
      <c r="AT73" s="56" t="s">
        <v>48</v>
      </c>
      <c r="AU73" s="56" t="s">
        <v>48</v>
      </c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46">
        <f t="shared" si="3"/>
        <v>39</v>
      </c>
      <c r="CB73" s="52">
        <f t="shared" ref="CB73:CB83" si="4">(100*CA73)/43</f>
        <v>90.697674418604649</v>
      </c>
    </row>
    <row r="74" spans="1:80" ht="16.5" customHeight="1">
      <c r="A74" s="50">
        <v>67</v>
      </c>
      <c r="B74" s="32">
        <v>2023067</v>
      </c>
      <c r="C74" s="32" t="s">
        <v>157</v>
      </c>
      <c r="D74" s="36"/>
      <c r="E74" s="56" t="s">
        <v>48</v>
      </c>
      <c r="F74" s="56" t="s">
        <v>48</v>
      </c>
      <c r="G74" s="56" t="s">
        <v>48</v>
      </c>
      <c r="H74" s="56" t="s">
        <v>48</v>
      </c>
      <c r="I74" s="56" t="s">
        <v>48</v>
      </c>
      <c r="J74" s="56" t="s">
        <v>48</v>
      </c>
      <c r="K74" s="56" t="s">
        <v>48</v>
      </c>
      <c r="L74" s="56" t="s">
        <v>48</v>
      </c>
      <c r="M74" s="56" t="s">
        <v>48</v>
      </c>
      <c r="N74" s="56" t="s">
        <v>48</v>
      </c>
      <c r="O74" s="56" t="s">
        <v>48</v>
      </c>
      <c r="P74" s="56" t="s">
        <v>48</v>
      </c>
      <c r="Q74" s="56" t="s">
        <v>48</v>
      </c>
      <c r="R74" s="56" t="s">
        <v>48</v>
      </c>
      <c r="S74" s="56" t="s">
        <v>16</v>
      </c>
      <c r="T74" s="56" t="s">
        <v>16</v>
      </c>
      <c r="U74" s="56" t="s">
        <v>16</v>
      </c>
      <c r="V74" s="56" t="s">
        <v>48</v>
      </c>
      <c r="W74" s="56" t="s">
        <v>48</v>
      </c>
      <c r="X74" s="56" t="s">
        <v>16</v>
      </c>
      <c r="Y74" s="56" t="s">
        <v>48</v>
      </c>
      <c r="Z74" s="56" t="s">
        <v>48</v>
      </c>
      <c r="AA74" s="56" t="s">
        <v>16</v>
      </c>
      <c r="AB74" s="56" t="s">
        <v>48</v>
      </c>
      <c r="AC74" s="56" t="s">
        <v>48</v>
      </c>
      <c r="AD74" s="56" t="s">
        <v>48</v>
      </c>
      <c r="AE74" s="56" t="s">
        <v>48</v>
      </c>
      <c r="AF74" s="56" t="s">
        <v>48</v>
      </c>
      <c r="AG74" s="56" t="s">
        <v>48</v>
      </c>
      <c r="AH74" s="56" t="s">
        <v>48</v>
      </c>
      <c r="AI74" s="56" t="s">
        <v>16</v>
      </c>
      <c r="AJ74" s="56" t="s">
        <v>16</v>
      </c>
      <c r="AK74" s="56" t="s">
        <v>48</v>
      </c>
      <c r="AL74" s="56" t="s">
        <v>48</v>
      </c>
      <c r="AM74" s="56" t="s">
        <v>48</v>
      </c>
      <c r="AN74" s="56" t="s">
        <v>48</v>
      </c>
      <c r="AO74" s="56" t="s">
        <v>16</v>
      </c>
      <c r="AP74" s="56" t="s">
        <v>48</v>
      </c>
      <c r="AQ74" s="56" t="s">
        <v>48</v>
      </c>
      <c r="AR74" s="56" t="s">
        <v>48</v>
      </c>
      <c r="AS74" s="56" t="s">
        <v>48</v>
      </c>
      <c r="AT74" s="56" t="s">
        <v>48</v>
      </c>
      <c r="AU74" s="56" t="s">
        <v>48</v>
      </c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46">
        <f t="shared" si="3"/>
        <v>35</v>
      </c>
      <c r="CB74" s="52">
        <f t="shared" si="4"/>
        <v>81.395348837209298</v>
      </c>
    </row>
    <row r="75" spans="1:80" ht="16.5" customHeight="1">
      <c r="A75" s="50">
        <v>68</v>
      </c>
      <c r="B75" s="32">
        <v>2023068</v>
      </c>
      <c r="C75" s="32" t="s">
        <v>158</v>
      </c>
      <c r="D75" s="36"/>
      <c r="E75" s="56" t="s">
        <v>48</v>
      </c>
      <c r="F75" s="56" t="s">
        <v>48</v>
      </c>
      <c r="G75" s="56" t="s">
        <v>48</v>
      </c>
      <c r="H75" s="56" t="s">
        <v>48</v>
      </c>
      <c r="I75" s="56" t="s">
        <v>48</v>
      </c>
      <c r="J75" s="56" t="s">
        <v>48</v>
      </c>
      <c r="K75" s="56" t="s">
        <v>48</v>
      </c>
      <c r="L75" s="56" t="s">
        <v>48</v>
      </c>
      <c r="M75" s="56" t="s">
        <v>48</v>
      </c>
      <c r="N75" s="56" t="s">
        <v>48</v>
      </c>
      <c r="O75" s="56" t="s">
        <v>48</v>
      </c>
      <c r="P75" s="56" t="s">
        <v>48</v>
      </c>
      <c r="Q75" s="56" t="s">
        <v>48</v>
      </c>
      <c r="R75" s="56" t="s">
        <v>48</v>
      </c>
      <c r="S75" s="56" t="s">
        <v>16</v>
      </c>
      <c r="T75" s="56" t="s">
        <v>48</v>
      </c>
      <c r="U75" s="56" t="s">
        <v>48</v>
      </c>
      <c r="V75" s="56" t="s">
        <v>16</v>
      </c>
      <c r="W75" s="56" t="s">
        <v>48</v>
      </c>
      <c r="X75" s="56" t="s">
        <v>48</v>
      </c>
      <c r="Y75" s="56" t="s">
        <v>48</v>
      </c>
      <c r="Z75" s="56" t="s">
        <v>48</v>
      </c>
      <c r="AA75" s="56" t="s">
        <v>48</v>
      </c>
      <c r="AB75" s="56" t="s">
        <v>48</v>
      </c>
      <c r="AC75" s="56" t="s">
        <v>48</v>
      </c>
      <c r="AD75" s="56" t="s">
        <v>48</v>
      </c>
      <c r="AE75" s="56" t="s">
        <v>48</v>
      </c>
      <c r="AF75" s="56" t="s">
        <v>48</v>
      </c>
      <c r="AG75" s="56" t="s">
        <v>48</v>
      </c>
      <c r="AH75" s="56" t="s">
        <v>48</v>
      </c>
      <c r="AI75" s="56" t="s">
        <v>16</v>
      </c>
      <c r="AJ75" s="56" t="s">
        <v>48</v>
      </c>
      <c r="AK75" s="56" t="s">
        <v>48</v>
      </c>
      <c r="AL75" s="56" t="s">
        <v>48</v>
      </c>
      <c r="AM75" s="56" t="s">
        <v>48</v>
      </c>
      <c r="AN75" s="56" t="s">
        <v>48</v>
      </c>
      <c r="AO75" s="56" t="s">
        <v>48</v>
      </c>
      <c r="AP75" s="56" t="s">
        <v>48</v>
      </c>
      <c r="AQ75" s="56" t="s">
        <v>48</v>
      </c>
      <c r="AR75" s="56" t="s">
        <v>48</v>
      </c>
      <c r="AS75" s="56" t="s">
        <v>48</v>
      </c>
      <c r="AT75" s="56" t="s">
        <v>16</v>
      </c>
      <c r="AU75" s="56" t="s">
        <v>16</v>
      </c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46">
        <f t="shared" si="3"/>
        <v>38</v>
      </c>
      <c r="CB75" s="52">
        <f t="shared" si="4"/>
        <v>88.372093023255815</v>
      </c>
    </row>
    <row r="76" spans="1:80" ht="16.5" customHeight="1">
      <c r="A76" s="50">
        <v>69</v>
      </c>
      <c r="B76" s="32">
        <v>2023069</v>
      </c>
      <c r="C76" s="32" t="s">
        <v>159</v>
      </c>
      <c r="D76" s="36"/>
      <c r="E76" s="56" t="s">
        <v>16</v>
      </c>
      <c r="F76" s="56" t="s">
        <v>48</v>
      </c>
      <c r="G76" s="56" t="s">
        <v>16</v>
      </c>
      <c r="H76" s="56" t="s">
        <v>16</v>
      </c>
      <c r="I76" s="56" t="s">
        <v>16</v>
      </c>
      <c r="J76" s="56" t="s">
        <v>16</v>
      </c>
      <c r="K76" s="56" t="s">
        <v>16</v>
      </c>
      <c r="L76" s="56" t="s">
        <v>16</v>
      </c>
      <c r="M76" s="56" t="s">
        <v>16</v>
      </c>
      <c r="N76" s="56" t="s">
        <v>16</v>
      </c>
      <c r="O76" s="56" t="s">
        <v>16</v>
      </c>
      <c r="P76" s="56" t="s">
        <v>16</v>
      </c>
      <c r="Q76" s="56" t="s">
        <v>16</v>
      </c>
      <c r="R76" s="56" t="s">
        <v>16</v>
      </c>
      <c r="S76" s="56" t="s">
        <v>16</v>
      </c>
      <c r="T76" s="56" t="s">
        <v>16</v>
      </c>
      <c r="U76" s="56" t="s">
        <v>16</v>
      </c>
      <c r="V76" s="56" t="s">
        <v>16</v>
      </c>
      <c r="W76" s="56" t="s">
        <v>16</v>
      </c>
      <c r="X76" s="56" t="s">
        <v>16</v>
      </c>
      <c r="Y76" s="56" t="s">
        <v>16</v>
      </c>
      <c r="Z76" s="56" t="s">
        <v>16</v>
      </c>
      <c r="AA76" s="56" t="s">
        <v>16</v>
      </c>
      <c r="AB76" s="56" t="s">
        <v>16</v>
      </c>
      <c r="AC76" s="56" t="s">
        <v>48</v>
      </c>
      <c r="AD76" s="56" t="s">
        <v>48</v>
      </c>
      <c r="AE76" s="56" t="s">
        <v>48</v>
      </c>
      <c r="AF76" s="56" t="s">
        <v>48</v>
      </c>
      <c r="AG76" s="56" t="s">
        <v>48</v>
      </c>
      <c r="AH76" s="56" t="s">
        <v>48</v>
      </c>
      <c r="AI76" s="56" t="s">
        <v>48</v>
      </c>
      <c r="AJ76" s="56" t="s">
        <v>48</v>
      </c>
      <c r="AK76" s="56" t="s">
        <v>16</v>
      </c>
      <c r="AL76" s="56" t="s">
        <v>16</v>
      </c>
      <c r="AM76" s="56" t="s">
        <v>16</v>
      </c>
      <c r="AN76" s="56" t="s">
        <v>48</v>
      </c>
      <c r="AO76" s="56" t="s">
        <v>16</v>
      </c>
      <c r="AP76" s="56" t="s">
        <v>48</v>
      </c>
      <c r="AQ76" s="56" t="s">
        <v>48</v>
      </c>
      <c r="AR76" s="56" t="s">
        <v>16</v>
      </c>
      <c r="AS76" s="56" t="s">
        <v>16</v>
      </c>
      <c r="AT76" s="56" t="s">
        <v>48</v>
      </c>
      <c r="AU76" s="56" t="s">
        <v>16</v>
      </c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46">
        <f t="shared" si="3"/>
        <v>13</v>
      </c>
      <c r="CB76" s="52">
        <f t="shared" si="4"/>
        <v>30.232558139534884</v>
      </c>
    </row>
    <row r="77" spans="1:80" ht="16.5" customHeight="1">
      <c r="A77" s="50">
        <v>70</v>
      </c>
      <c r="B77" s="32">
        <v>2023070</v>
      </c>
      <c r="C77" s="32" t="s">
        <v>81</v>
      </c>
      <c r="D77" s="36"/>
      <c r="E77" s="56" t="s">
        <v>16</v>
      </c>
      <c r="F77" s="56" t="s">
        <v>48</v>
      </c>
      <c r="G77" s="56" t="s">
        <v>16</v>
      </c>
      <c r="H77" s="56" t="s">
        <v>16</v>
      </c>
      <c r="I77" s="56" t="s">
        <v>48</v>
      </c>
      <c r="J77" s="56" t="s">
        <v>48</v>
      </c>
      <c r="K77" s="56" t="s">
        <v>48</v>
      </c>
      <c r="L77" s="56" t="s">
        <v>16</v>
      </c>
      <c r="M77" s="56" t="s">
        <v>16</v>
      </c>
      <c r="N77" s="56" t="s">
        <v>48</v>
      </c>
      <c r="O77" s="56" t="s">
        <v>48</v>
      </c>
      <c r="P77" s="56" t="s">
        <v>16</v>
      </c>
      <c r="Q77" s="56" t="s">
        <v>48</v>
      </c>
      <c r="R77" s="56" t="s">
        <v>48</v>
      </c>
      <c r="S77" s="56" t="s">
        <v>48</v>
      </c>
      <c r="T77" s="56" t="s">
        <v>48</v>
      </c>
      <c r="U77" s="56" t="s">
        <v>48</v>
      </c>
      <c r="V77" s="56" t="s">
        <v>48</v>
      </c>
      <c r="W77" s="56" t="s">
        <v>48</v>
      </c>
      <c r="X77" s="56" t="s">
        <v>48</v>
      </c>
      <c r="Y77" s="56" t="s">
        <v>48</v>
      </c>
      <c r="Z77" s="56" t="s">
        <v>48</v>
      </c>
      <c r="AA77" s="56" t="s">
        <v>48</v>
      </c>
      <c r="AB77" s="56" t="s">
        <v>48</v>
      </c>
      <c r="AC77" s="56" t="s">
        <v>48</v>
      </c>
      <c r="AD77" s="56" t="s">
        <v>48</v>
      </c>
      <c r="AE77" s="56" t="s">
        <v>16</v>
      </c>
      <c r="AF77" s="56" t="s">
        <v>16</v>
      </c>
      <c r="AG77" s="56" t="s">
        <v>48</v>
      </c>
      <c r="AH77" s="56" t="s">
        <v>48</v>
      </c>
      <c r="AI77" s="56" t="s">
        <v>16</v>
      </c>
      <c r="AJ77" s="56" t="s">
        <v>48</v>
      </c>
      <c r="AK77" s="56" t="s">
        <v>48</v>
      </c>
      <c r="AL77" s="56" t="s">
        <v>48</v>
      </c>
      <c r="AM77" s="56" t="s">
        <v>16</v>
      </c>
      <c r="AN77" s="56" t="s">
        <v>48</v>
      </c>
      <c r="AO77" s="56" t="s">
        <v>16</v>
      </c>
      <c r="AP77" s="56" t="s">
        <v>16</v>
      </c>
      <c r="AQ77" s="56" t="s">
        <v>48</v>
      </c>
      <c r="AR77" s="56" t="s">
        <v>48</v>
      </c>
      <c r="AS77" s="56" t="s">
        <v>16</v>
      </c>
      <c r="AT77" s="56" t="s">
        <v>16</v>
      </c>
      <c r="AU77" s="56" t="s">
        <v>16</v>
      </c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46">
        <f t="shared" si="3"/>
        <v>28</v>
      </c>
      <c r="CB77" s="52">
        <f t="shared" si="4"/>
        <v>65.116279069767444</v>
      </c>
    </row>
    <row r="78" spans="1:80" ht="16.5" customHeight="1">
      <c r="A78" s="50">
        <v>71</v>
      </c>
      <c r="B78" s="32">
        <v>2023071</v>
      </c>
      <c r="C78" s="32" t="s">
        <v>97</v>
      </c>
      <c r="D78" s="36"/>
      <c r="E78" s="56" t="s">
        <v>16</v>
      </c>
      <c r="F78" s="56" t="s">
        <v>16</v>
      </c>
      <c r="G78" s="56" t="s">
        <v>16</v>
      </c>
      <c r="H78" s="56" t="s">
        <v>48</v>
      </c>
      <c r="I78" s="56" t="s">
        <v>48</v>
      </c>
      <c r="J78" s="56" t="s">
        <v>16</v>
      </c>
      <c r="K78" s="56" t="s">
        <v>16</v>
      </c>
      <c r="L78" s="56" t="s">
        <v>16</v>
      </c>
      <c r="M78" s="56" t="s">
        <v>16</v>
      </c>
      <c r="N78" s="56" t="s">
        <v>48</v>
      </c>
      <c r="O78" s="56" t="s">
        <v>16</v>
      </c>
      <c r="P78" s="56" t="s">
        <v>16</v>
      </c>
      <c r="Q78" s="56" t="s">
        <v>48</v>
      </c>
      <c r="R78" s="56" t="s">
        <v>16</v>
      </c>
      <c r="S78" s="56" t="s">
        <v>16</v>
      </c>
      <c r="T78" s="56" t="s">
        <v>16</v>
      </c>
      <c r="U78" s="56" t="s">
        <v>16</v>
      </c>
      <c r="V78" s="56" t="s">
        <v>16</v>
      </c>
      <c r="W78" s="56" t="s">
        <v>16</v>
      </c>
      <c r="X78" s="56" t="s">
        <v>16</v>
      </c>
      <c r="Y78" s="56" t="s">
        <v>16</v>
      </c>
      <c r="Z78" s="56" t="s">
        <v>16</v>
      </c>
      <c r="AA78" s="56" t="s">
        <v>16</v>
      </c>
      <c r="AB78" s="56" t="s">
        <v>16</v>
      </c>
      <c r="AC78" s="56" t="s">
        <v>16</v>
      </c>
      <c r="AD78" s="56" t="s">
        <v>16</v>
      </c>
      <c r="AE78" s="56" t="s">
        <v>16</v>
      </c>
      <c r="AF78" s="56" t="s">
        <v>16</v>
      </c>
      <c r="AG78" s="56" t="s">
        <v>16</v>
      </c>
      <c r="AH78" s="56" t="s">
        <v>16</v>
      </c>
      <c r="AI78" s="56" t="s">
        <v>16</v>
      </c>
      <c r="AJ78" s="56" t="s">
        <v>16</v>
      </c>
      <c r="AK78" s="56" t="s">
        <v>48</v>
      </c>
      <c r="AL78" s="56" t="s">
        <v>16</v>
      </c>
      <c r="AM78" s="56" t="s">
        <v>16</v>
      </c>
      <c r="AN78" s="56" t="s">
        <v>16</v>
      </c>
      <c r="AO78" s="56" t="s">
        <v>16</v>
      </c>
      <c r="AP78" s="56" t="s">
        <v>16</v>
      </c>
      <c r="AQ78" s="56" t="s">
        <v>16</v>
      </c>
      <c r="AR78" s="56" t="s">
        <v>16</v>
      </c>
      <c r="AS78" s="56" t="s">
        <v>16</v>
      </c>
      <c r="AT78" s="56" t="s">
        <v>16</v>
      </c>
      <c r="AU78" s="56" t="s">
        <v>16</v>
      </c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46">
        <f t="shared" si="3"/>
        <v>5</v>
      </c>
      <c r="CB78" s="52">
        <f t="shared" si="4"/>
        <v>11.627906976744185</v>
      </c>
    </row>
    <row r="79" spans="1:80" ht="16.5" customHeight="1">
      <c r="A79" s="50">
        <v>72</v>
      </c>
      <c r="B79" s="32">
        <v>2023072</v>
      </c>
      <c r="C79" s="32" t="s">
        <v>160</v>
      </c>
      <c r="D79" s="36"/>
      <c r="E79" s="56" t="s">
        <v>16</v>
      </c>
      <c r="F79" s="56" t="s">
        <v>16</v>
      </c>
      <c r="G79" s="56" t="s">
        <v>48</v>
      </c>
      <c r="H79" s="56" t="s">
        <v>48</v>
      </c>
      <c r="I79" s="56" t="s">
        <v>48</v>
      </c>
      <c r="J79" s="56" t="s">
        <v>16</v>
      </c>
      <c r="K79" s="56" t="s">
        <v>16</v>
      </c>
      <c r="L79" s="56" t="s">
        <v>16</v>
      </c>
      <c r="M79" s="56" t="s">
        <v>16</v>
      </c>
      <c r="N79" s="56" t="s">
        <v>16</v>
      </c>
      <c r="O79" s="56" t="s">
        <v>16</v>
      </c>
      <c r="P79" s="56" t="s">
        <v>16</v>
      </c>
      <c r="Q79" s="56" t="s">
        <v>48</v>
      </c>
      <c r="R79" s="56" t="s">
        <v>16</v>
      </c>
      <c r="S79" s="56" t="s">
        <v>16</v>
      </c>
      <c r="T79" s="56" t="s">
        <v>16</v>
      </c>
      <c r="U79" s="56" t="s">
        <v>16</v>
      </c>
      <c r="V79" s="56" t="s">
        <v>16</v>
      </c>
      <c r="W79" s="56" t="s">
        <v>16</v>
      </c>
      <c r="X79" s="56" t="s">
        <v>16</v>
      </c>
      <c r="Y79" s="56" t="s">
        <v>48</v>
      </c>
      <c r="Z79" s="56" t="s">
        <v>48</v>
      </c>
      <c r="AA79" s="56" t="s">
        <v>48</v>
      </c>
      <c r="AB79" s="56" t="s">
        <v>48</v>
      </c>
      <c r="AC79" s="56" t="s">
        <v>48</v>
      </c>
      <c r="AD79" s="56" t="s">
        <v>48</v>
      </c>
      <c r="AE79" s="56" t="s">
        <v>48</v>
      </c>
      <c r="AF79" s="56" t="s">
        <v>48</v>
      </c>
      <c r="AG79" s="56" t="s">
        <v>48</v>
      </c>
      <c r="AH79" s="56" t="s">
        <v>16</v>
      </c>
      <c r="AI79" s="56" t="s">
        <v>16</v>
      </c>
      <c r="AJ79" s="56" t="s">
        <v>16</v>
      </c>
      <c r="AK79" s="56" t="s">
        <v>48</v>
      </c>
      <c r="AL79" s="56" t="s">
        <v>48</v>
      </c>
      <c r="AM79" s="56" t="s">
        <v>48</v>
      </c>
      <c r="AN79" s="56" t="s">
        <v>48</v>
      </c>
      <c r="AO79" s="56" t="s">
        <v>48</v>
      </c>
      <c r="AP79" s="56" t="s">
        <v>48</v>
      </c>
      <c r="AQ79" s="56" t="s">
        <v>48</v>
      </c>
      <c r="AR79" s="56" t="s">
        <v>48</v>
      </c>
      <c r="AS79" s="56" t="s">
        <v>48</v>
      </c>
      <c r="AT79" s="56" t="s">
        <v>48</v>
      </c>
      <c r="AU79" s="56" t="s">
        <v>16</v>
      </c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46">
        <f t="shared" si="3"/>
        <v>23</v>
      </c>
      <c r="CB79" s="52">
        <f t="shared" si="4"/>
        <v>53.488372093023258</v>
      </c>
    </row>
    <row r="80" spans="1:80" ht="16.5" customHeight="1">
      <c r="A80" s="50">
        <v>73</v>
      </c>
      <c r="B80" s="32">
        <v>2023073</v>
      </c>
      <c r="C80" s="32" t="s">
        <v>161</v>
      </c>
      <c r="D80" s="36"/>
      <c r="E80" s="56" t="s">
        <v>48</v>
      </c>
      <c r="F80" s="56" t="s">
        <v>48</v>
      </c>
      <c r="G80" s="56" t="s">
        <v>48</v>
      </c>
      <c r="H80" s="56" t="s">
        <v>16</v>
      </c>
      <c r="I80" s="56" t="s">
        <v>48</v>
      </c>
      <c r="J80" s="56" t="s">
        <v>16</v>
      </c>
      <c r="K80" s="56" t="s">
        <v>16</v>
      </c>
      <c r="L80" s="56" t="s">
        <v>16</v>
      </c>
      <c r="M80" s="56" t="s">
        <v>48</v>
      </c>
      <c r="N80" s="56" t="s">
        <v>16</v>
      </c>
      <c r="O80" s="56" t="s">
        <v>16</v>
      </c>
      <c r="P80" s="56" t="s">
        <v>16</v>
      </c>
      <c r="Q80" s="56" t="s">
        <v>48</v>
      </c>
      <c r="R80" s="56" t="s">
        <v>16</v>
      </c>
      <c r="S80" s="56" t="s">
        <v>16</v>
      </c>
      <c r="T80" s="56" t="s">
        <v>48</v>
      </c>
      <c r="U80" s="56" t="s">
        <v>16</v>
      </c>
      <c r="V80" s="56" t="s">
        <v>16</v>
      </c>
      <c r="W80" s="56" t="s">
        <v>16</v>
      </c>
      <c r="X80" s="56" t="s">
        <v>16</v>
      </c>
      <c r="Y80" s="56" t="s">
        <v>16</v>
      </c>
      <c r="Z80" s="56" t="s">
        <v>16</v>
      </c>
      <c r="AA80" s="56" t="s">
        <v>48</v>
      </c>
      <c r="AB80" s="56" t="s">
        <v>16</v>
      </c>
      <c r="AC80" s="56" t="s">
        <v>16</v>
      </c>
      <c r="AD80" s="56" t="s">
        <v>16</v>
      </c>
      <c r="AE80" s="56" t="s">
        <v>16</v>
      </c>
      <c r="AF80" s="56" t="s">
        <v>16</v>
      </c>
      <c r="AG80" s="56" t="s">
        <v>16</v>
      </c>
      <c r="AH80" s="56" t="s">
        <v>48</v>
      </c>
      <c r="AI80" s="56" t="s">
        <v>16</v>
      </c>
      <c r="AJ80" s="56" t="s">
        <v>16</v>
      </c>
      <c r="AK80" s="56" t="s">
        <v>16</v>
      </c>
      <c r="AL80" s="56" t="s">
        <v>16</v>
      </c>
      <c r="AM80" s="56" t="s">
        <v>16</v>
      </c>
      <c r="AN80" s="56" t="s">
        <v>48</v>
      </c>
      <c r="AO80" s="56" t="s">
        <v>16</v>
      </c>
      <c r="AP80" s="56" t="s">
        <v>16</v>
      </c>
      <c r="AQ80" s="56" t="s">
        <v>16</v>
      </c>
      <c r="AR80" s="56" t="s">
        <v>48</v>
      </c>
      <c r="AS80" s="56" t="s">
        <v>16</v>
      </c>
      <c r="AT80" s="56" t="s">
        <v>48</v>
      </c>
      <c r="AU80" s="56" t="s">
        <v>16</v>
      </c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46">
        <f t="shared" si="3"/>
        <v>12</v>
      </c>
      <c r="CB80" s="52">
        <f t="shared" si="4"/>
        <v>27.906976744186046</v>
      </c>
    </row>
    <row r="81" spans="1:80" ht="16.5" customHeight="1">
      <c r="A81" s="50">
        <v>74</v>
      </c>
      <c r="B81" s="32">
        <v>2023074</v>
      </c>
      <c r="C81" s="32" t="s">
        <v>162</v>
      </c>
      <c r="D81" s="36"/>
      <c r="E81" s="56" t="s">
        <v>16</v>
      </c>
      <c r="F81" s="56" t="s">
        <v>16</v>
      </c>
      <c r="G81" s="56" t="s">
        <v>16</v>
      </c>
      <c r="H81" s="56" t="s">
        <v>16</v>
      </c>
      <c r="I81" s="56" t="s">
        <v>16</v>
      </c>
      <c r="J81" s="56" t="s">
        <v>16</v>
      </c>
      <c r="K81" s="56" t="s">
        <v>48</v>
      </c>
      <c r="L81" s="56" t="s">
        <v>16</v>
      </c>
      <c r="M81" s="56" t="s">
        <v>16</v>
      </c>
      <c r="N81" s="56" t="s">
        <v>16</v>
      </c>
      <c r="O81" s="56" t="s">
        <v>48</v>
      </c>
      <c r="P81" s="56" t="s">
        <v>16</v>
      </c>
      <c r="Q81" s="56" t="s">
        <v>48</v>
      </c>
      <c r="R81" s="56" t="s">
        <v>48</v>
      </c>
      <c r="S81" s="56" t="s">
        <v>16</v>
      </c>
      <c r="T81" s="56" t="s">
        <v>16</v>
      </c>
      <c r="U81" s="56" t="s">
        <v>48</v>
      </c>
      <c r="V81" s="56" t="s">
        <v>48</v>
      </c>
      <c r="W81" s="56" t="s">
        <v>16</v>
      </c>
      <c r="X81" s="56" t="s">
        <v>16</v>
      </c>
      <c r="Y81" s="56" t="s">
        <v>16</v>
      </c>
      <c r="Z81" s="56" t="s">
        <v>16</v>
      </c>
      <c r="AA81" s="56" t="s">
        <v>16</v>
      </c>
      <c r="AB81" s="56" t="s">
        <v>16</v>
      </c>
      <c r="AC81" s="56" t="s">
        <v>16</v>
      </c>
      <c r="AD81" s="56" t="s">
        <v>16</v>
      </c>
      <c r="AE81" s="56" t="s">
        <v>16</v>
      </c>
      <c r="AF81" s="56" t="s">
        <v>48</v>
      </c>
      <c r="AG81" s="56" t="s">
        <v>48</v>
      </c>
      <c r="AH81" s="56" t="s">
        <v>48</v>
      </c>
      <c r="AI81" s="56" t="s">
        <v>16</v>
      </c>
      <c r="AJ81" s="56" t="s">
        <v>16</v>
      </c>
      <c r="AK81" s="56" t="s">
        <v>48</v>
      </c>
      <c r="AL81" s="56" t="s">
        <v>48</v>
      </c>
      <c r="AM81" s="56" t="s">
        <v>48</v>
      </c>
      <c r="AN81" s="56" t="s">
        <v>48</v>
      </c>
      <c r="AO81" s="56" t="s">
        <v>48</v>
      </c>
      <c r="AP81" s="56" t="s">
        <v>48</v>
      </c>
      <c r="AQ81" s="56" t="s">
        <v>48</v>
      </c>
      <c r="AR81" s="56" t="s">
        <v>48</v>
      </c>
      <c r="AS81" s="56" t="s">
        <v>48</v>
      </c>
      <c r="AT81" s="56" t="s">
        <v>48</v>
      </c>
      <c r="AU81" s="56" t="s">
        <v>48</v>
      </c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46">
        <f t="shared" si="3"/>
        <v>20</v>
      </c>
      <c r="CB81" s="52">
        <f t="shared" si="4"/>
        <v>46.511627906976742</v>
      </c>
    </row>
    <row r="82" spans="1:80" ht="16.5" customHeight="1">
      <c r="A82" s="50">
        <v>75</v>
      </c>
      <c r="B82" s="32">
        <v>2023075</v>
      </c>
      <c r="C82" s="32" t="s">
        <v>163</v>
      </c>
      <c r="D82" s="36"/>
      <c r="E82" s="56" t="s">
        <v>48</v>
      </c>
      <c r="F82" s="56" t="s">
        <v>48</v>
      </c>
      <c r="G82" s="56" t="s">
        <v>48</v>
      </c>
      <c r="H82" s="56" t="s">
        <v>48</v>
      </c>
      <c r="I82" s="56" t="s">
        <v>48</v>
      </c>
      <c r="J82" s="56" t="s">
        <v>48</v>
      </c>
      <c r="K82" s="56" t="s">
        <v>48</v>
      </c>
      <c r="L82" s="56" t="s">
        <v>48</v>
      </c>
      <c r="M82" s="56" t="s">
        <v>48</v>
      </c>
      <c r="N82" s="56" t="s">
        <v>48</v>
      </c>
      <c r="O82" s="56" t="s">
        <v>48</v>
      </c>
      <c r="P82" s="56" t="s">
        <v>48</v>
      </c>
      <c r="Q82" s="56" t="s">
        <v>48</v>
      </c>
      <c r="R82" s="56" t="s">
        <v>48</v>
      </c>
      <c r="S82" s="56" t="s">
        <v>48</v>
      </c>
      <c r="T82" s="56" t="s">
        <v>48</v>
      </c>
      <c r="U82" s="56" t="s">
        <v>48</v>
      </c>
      <c r="V82" s="56" t="s">
        <v>48</v>
      </c>
      <c r="W82" s="56" t="s">
        <v>48</v>
      </c>
      <c r="X82" s="56" t="s">
        <v>48</v>
      </c>
      <c r="Y82" s="56" t="s">
        <v>48</v>
      </c>
      <c r="Z82" s="56" t="s">
        <v>48</v>
      </c>
      <c r="AA82" s="56" t="s">
        <v>48</v>
      </c>
      <c r="AB82" s="56" t="s">
        <v>48</v>
      </c>
      <c r="AC82" s="56" t="s">
        <v>48</v>
      </c>
      <c r="AD82" s="56" t="s">
        <v>48</v>
      </c>
      <c r="AE82" s="56" t="s">
        <v>48</v>
      </c>
      <c r="AF82" s="56" t="s">
        <v>48</v>
      </c>
      <c r="AG82" s="56" t="s">
        <v>48</v>
      </c>
      <c r="AH82" s="56" t="s">
        <v>48</v>
      </c>
      <c r="AI82" s="56" t="s">
        <v>48</v>
      </c>
      <c r="AJ82" s="56" t="s">
        <v>48</v>
      </c>
      <c r="AK82" s="56" t="s">
        <v>48</v>
      </c>
      <c r="AL82" s="56" t="s">
        <v>48</v>
      </c>
      <c r="AM82" s="56" t="s">
        <v>48</v>
      </c>
      <c r="AN82" s="56" t="s">
        <v>48</v>
      </c>
      <c r="AO82" s="56" t="s">
        <v>48</v>
      </c>
      <c r="AP82" s="56" t="s">
        <v>48</v>
      </c>
      <c r="AQ82" s="56" t="s">
        <v>48</v>
      </c>
      <c r="AR82" s="56" t="s">
        <v>48</v>
      </c>
      <c r="AS82" s="56" t="s">
        <v>48</v>
      </c>
      <c r="AT82" s="56" t="s">
        <v>48</v>
      </c>
      <c r="AU82" s="56" t="s">
        <v>48</v>
      </c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46">
        <f t="shared" si="3"/>
        <v>43</v>
      </c>
      <c r="CB82" s="52">
        <f t="shared" si="4"/>
        <v>100</v>
      </c>
    </row>
    <row r="83" spans="1:80" ht="15" hidden="1" customHeight="1">
      <c r="A83" s="12" t="s">
        <v>40</v>
      </c>
      <c r="B83" s="12" t="s">
        <v>40</v>
      </c>
      <c r="C83" s="41"/>
      <c r="D83" s="42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4">
        <v>0</v>
      </c>
      <c r="CB83" s="52">
        <f t="shared" si="4"/>
        <v>0</v>
      </c>
    </row>
    <row r="84" spans="1:80" ht="18" customHeight="1">
      <c r="A84" s="15"/>
      <c r="B84" s="38"/>
      <c r="C84" s="45" t="s">
        <v>164</v>
      </c>
      <c r="D84" s="45"/>
      <c r="E84" s="46">
        <f>COUNTIF(E8:E82,"P")</f>
        <v>41</v>
      </c>
      <c r="F84" s="46">
        <f t="shared" ref="F84:AU84" si="5">COUNTIF(F8:F82,"P")</f>
        <v>52</v>
      </c>
      <c r="G84" s="46">
        <f t="shared" si="5"/>
        <v>54</v>
      </c>
      <c r="H84" s="46">
        <f t="shared" si="5"/>
        <v>41</v>
      </c>
      <c r="I84" s="46">
        <f t="shared" si="5"/>
        <v>59</v>
      </c>
      <c r="J84" s="46">
        <f t="shared" si="5"/>
        <v>47</v>
      </c>
      <c r="K84" s="46">
        <f t="shared" si="5"/>
        <v>49</v>
      </c>
      <c r="L84" s="46">
        <f t="shared" si="5"/>
        <v>35</v>
      </c>
      <c r="M84" s="46">
        <f t="shared" si="5"/>
        <v>42</v>
      </c>
      <c r="N84" s="46">
        <f t="shared" si="5"/>
        <v>49</v>
      </c>
      <c r="O84" s="46">
        <f t="shared" si="5"/>
        <v>54</v>
      </c>
      <c r="P84" s="46">
        <f t="shared" si="5"/>
        <v>43</v>
      </c>
      <c r="Q84" s="46">
        <f t="shared" si="5"/>
        <v>57</v>
      </c>
      <c r="R84" s="46">
        <f t="shared" si="5"/>
        <v>49</v>
      </c>
      <c r="S84" s="46">
        <f t="shared" si="5"/>
        <v>45</v>
      </c>
      <c r="T84" s="46">
        <f t="shared" si="5"/>
        <v>51</v>
      </c>
      <c r="U84" s="46">
        <f t="shared" si="5"/>
        <v>50</v>
      </c>
      <c r="V84" s="46">
        <f t="shared" si="5"/>
        <v>56</v>
      </c>
      <c r="W84" s="46">
        <f t="shared" si="5"/>
        <v>55</v>
      </c>
      <c r="X84" s="46">
        <f t="shared" si="5"/>
        <v>45</v>
      </c>
      <c r="Y84" s="46">
        <f t="shared" si="5"/>
        <v>43</v>
      </c>
      <c r="Z84" s="46">
        <f t="shared" si="5"/>
        <v>45</v>
      </c>
      <c r="AA84" s="46">
        <f t="shared" si="5"/>
        <v>46</v>
      </c>
      <c r="AB84" s="46">
        <f t="shared" si="5"/>
        <v>51</v>
      </c>
      <c r="AC84" s="46">
        <f t="shared" si="5"/>
        <v>58</v>
      </c>
      <c r="AD84" s="46">
        <f t="shared" si="5"/>
        <v>61</v>
      </c>
      <c r="AE84" s="46">
        <f t="shared" si="5"/>
        <v>58</v>
      </c>
      <c r="AF84" s="46">
        <f t="shared" si="5"/>
        <v>51</v>
      </c>
      <c r="AG84" s="46">
        <f t="shared" si="5"/>
        <v>48</v>
      </c>
      <c r="AH84" s="46">
        <f t="shared" si="5"/>
        <v>51</v>
      </c>
      <c r="AI84" s="46">
        <f t="shared" si="5"/>
        <v>36</v>
      </c>
      <c r="AJ84" s="46">
        <f t="shared" si="5"/>
        <v>47</v>
      </c>
      <c r="AK84" s="46">
        <f t="shared" si="5"/>
        <v>56</v>
      </c>
      <c r="AL84" s="46">
        <f t="shared" si="5"/>
        <v>55</v>
      </c>
      <c r="AM84" s="46">
        <f t="shared" si="5"/>
        <v>51</v>
      </c>
      <c r="AN84" s="46">
        <f t="shared" si="5"/>
        <v>64</v>
      </c>
      <c r="AO84" s="46">
        <f t="shared" si="5"/>
        <v>56</v>
      </c>
      <c r="AP84" s="46">
        <f t="shared" si="5"/>
        <v>51</v>
      </c>
      <c r="AQ84" s="46">
        <f t="shared" si="5"/>
        <v>48</v>
      </c>
      <c r="AR84" s="46">
        <f t="shared" si="5"/>
        <v>58</v>
      </c>
      <c r="AS84" s="46">
        <f t="shared" si="5"/>
        <v>57</v>
      </c>
      <c r="AT84" s="46">
        <f t="shared" si="5"/>
        <v>61</v>
      </c>
      <c r="AU84" s="46">
        <f t="shared" si="5"/>
        <v>52</v>
      </c>
      <c r="AV84" s="39">
        <v>0</v>
      </c>
      <c r="AW84" s="28">
        <v>0</v>
      </c>
      <c r="AX84" s="28">
        <v>0</v>
      </c>
      <c r="AY84" s="28">
        <v>0</v>
      </c>
      <c r="AZ84" s="28">
        <v>0</v>
      </c>
      <c r="BA84" s="28">
        <v>0</v>
      </c>
      <c r="BB84" s="28">
        <v>0</v>
      </c>
      <c r="BC84" s="28">
        <v>0</v>
      </c>
      <c r="BD84" s="28">
        <v>0</v>
      </c>
      <c r="BE84" s="28">
        <v>0</v>
      </c>
      <c r="BF84" s="28">
        <v>0</v>
      </c>
      <c r="BG84" s="28">
        <v>0</v>
      </c>
      <c r="BH84" s="28">
        <v>0</v>
      </c>
      <c r="BI84" s="28">
        <v>0</v>
      </c>
      <c r="BJ84" s="28">
        <v>0</v>
      </c>
      <c r="BK84" s="28">
        <v>0</v>
      </c>
      <c r="BL84" s="28">
        <v>0</v>
      </c>
      <c r="BM84" s="28">
        <v>0</v>
      </c>
      <c r="BN84" s="28">
        <v>0</v>
      </c>
      <c r="BO84" s="28">
        <v>0</v>
      </c>
      <c r="BP84" s="28">
        <v>0</v>
      </c>
      <c r="BQ84" s="28">
        <v>0</v>
      </c>
      <c r="BR84" s="28">
        <v>0</v>
      </c>
      <c r="BS84" s="28">
        <v>0</v>
      </c>
      <c r="BT84" s="28">
        <v>0</v>
      </c>
      <c r="BU84" s="28">
        <v>0</v>
      </c>
      <c r="BV84" s="28">
        <v>0</v>
      </c>
      <c r="BW84" s="28">
        <v>0</v>
      </c>
      <c r="BX84" s="28">
        <v>0</v>
      </c>
      <c r="BY84" s="28">
        <v>0</v>
      </c>
      <c r="BZ84" s="28">
        <v>0</v>
      </c>
      <c r="CA84" s="13"/>
      <c r="CB84" s="14"/>
    </row>
    <row r="85" spans="1:80" ht="31.5" customHeight="1">
      <c r="A85" s="15"/>
      <c r="B85" s="38"/>
      <c r="C85" s="45" t="s">
        <v>165</v>
      </c>
      <c r="D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0">
        <v>0</v>
      </c>
      <c r="AW85" s="29">
        <v>0</v>
      </c>
      <c r="AX85" s="29">
        <v>0</v>
      </c>
      <c r="AY85" s="29">
        <v>0</v>
      </c>
      <c r="AZ85" s="29">
        <v>0</v>
      </c>
      <c r="BA85" s="29">
        <v>0</v>
      </c>
      <c r="BB85" s="29">
        <v>0</v>
      </c>
      <c r="BC85" s="29">
        <v>0</v>
      </c>
      <c r="BD85" s="29">
        <v>0</v>
      </c>
      <c r="BE85" s="29">
        <v>0</v>
      </c>
      <c r="BF85" s="29">
        <v>0</v>
      </c>
      <c r="BG85" s="29">
        <v>0</v>
      </c>
      <c r="BH85" s="29">
        <v>0</v>
      </c>
      <c r="BI85" s="29">
        <v>0</v>
      </c>
      <c r="BJ85" s="29">
        <v>0</v>
      </c>
      <c r="BK85" s="29">
        <v>0</v>
      </c>
      <c r="BL85" s="29">
        <v>0</v>
      </c>
      <c r="BM85" s="29">
        <v>0</v>
      </c>
      <c r="BN85" s="29">
        <v>0</v>
      </c>
      <c r="BO85" s="29">
        <v>0</v>
      </c>
      <c r="BP85" s="29">
        <v>0</v>
      </c>
      <c r="BQ85" s="29">
        <v>0</v>
      </c>
      <c r="BR85" s="29">
        <v>0</v>
      </c>
      <c r="BS85" s="29">
        <v>0</v>
      </c>
      <c r="BT85" s="29">
        <v>0</v>
      </c>
      <c r="BU85" s="29">
        <v>0</v>
      </c>
      <c r="BV85" s="29">
        <v>0</v>
      </c>
      <c r="BW85" s="29">
        <v>0</v>
      </c>
      <c r="BX85" s="29">
        <v>0</v>
      </c>
      <c r="BY85" s="29">
        <v>0</v>
      </c>
      <c r="BZ85" s="29">
        <v>0</v>
      </c>
      <c r="CA85" s="29"/>
      <c r="CB85" s="14"/>
    </row>
    <row r="86" spans="1:80" ht="21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5"/>
      <c r="Y86" s="5"/>
      <c r="Z86" s="5"/>
      <c r="AA86" s="30"/>
      <c r="AB86" s="30"/>
      <c r="AC86" s="30"/>
      <c r="AD86" s="30"/>
      <c r="AE86" s="30"/>
      <c r="AF86" s="30"/>
      <c r="AG86" s="30"/>
      <c r="AH86" s="30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30"/>
      <c r="AX86" s="30"/>
      <c r="AY86" s="30"/>
      <c r="AZ86" s="30"/>
      <c r="BA86" s="30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</row>
    <row r="87" spans="1:80" ht="12.75" hidden="1" customHeight="1">
      <c r="A87" s="5"/>
      <c r="B87" s="30"/>
      <c r="C87" s="30"/>
      <c r="D87" s="30"/>
      <c r="E87" s="31"/>
      <c r="F87" s="75" t="s">
        <v>43</v>
      </c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48"/>
      <c r="Z87" s="75" t="s">
        <v>53</v>
      </c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 t="s">
        <v>54</v>
      </c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48"/>
      <c r="BN87" s="75" t="s">
        <v>55</v>
      </c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5"/>
    </row>
    <row r="88" spans="1:80" ht="12" hidden="1" customHeight="1">
      <c r="A88" s="5"/>
      <c r="B88" s="30"/>
      <c r="C88" s="30"/>
      <c r="D88" s="30"/>
      <c r="E88" s="31"/>
      <c r="F88" s="76" t="s">
        <v>4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48"/>
      <c r="Z88" s="76" t="s">
        <v>5</v>
      </c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76" t="s">
        <v>6</v>
      </c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48"/>
      <c r="BN88" s="76" t="s">
        <v>7</v>
      </c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5"/>
    </row>
    <row r="89" spans="1:80" ht="15.75" hidden="1" customHeight="1"/>
  </sheetData>
  <mergeCells count="30">
    <mergeCell ref="F87:X87"/>
    <mergeCell ref="Z87:AU87"/>
    <mergeCell ref="AV87:BL87"/>
    <mergeCell ref="BN87:CA87"/>
    <mergeCell ref="F88:X88"/>
    <mergeCell ref="Z88:AU88"/>
    <mergeCell ref="AV88:BL88"/>
    <mergeCell ref="BN88:CA88"/>
    <mergeCell ref="BT4:BW4"/>
    <mergeCell ref="CA4:CB4"/>
    <mergeCell ref="A6:A7"/>
    <mergeCell ref="B6:B7"/>
    <mergeCell ref="C6:C7"/>
    <mergeCell ref="CA6:CA7"/>
    <mergeCell ref="CB6:CB7"/>
    <mergeCell ref="E4:AE4"/>
    <mergeCell ref="AF4:AW4"/>
    <mergeCell ref="BA4:BE4"/>
    <mergeCell ref="BF4:BI4"/>
    <mergeCell ref="BJ4:BM4"/>
    <mergeCell ref="BN4:BQ4"/>
    <mergeCell ref="E1:CB1"/>
    <mergeCell ref="E2:CB2"/>
    <mergeCell ref="E3:AE3"/>
    <mergeCell ref="AF3:AW3"/>
    <mergeCell ref="BA3:BE3"/>
    <mergeCell ref="BF3:BI3"/>
    <mergeCell ref="BJ3:BM3"/>
    <mergeCell ref="BN3:BQ3"/>
    <mergeCell ref="BT3:BW3"/>
  </mergeCells>
  <conditionalFormatting sqref="CB84">
    <cfRule type="expression" dxfId="10" priority="11">
      <formula>AND(#REF!&lt;&gt;"", CB84&lt;60)</formula>
    </cfRule>
  </conditionalFormatting>
  <conditionalFormatting sqref="CB84">
    <cfRule type="expression" dxfId="9" priority="10">
      <formula>AND(#REF!&lt;&gt;"", CB84&lt;75)</formula>
    </cfRule>
  </conditionalFormatting>
  <conditionalFormatting sqref="CB84">
    <cfRule type="expression" dxfId="8" priority="9">
      <formula>AND(#REF!&lt;&gt;"", CB84&lt;85)</formula>
    </cfRule>
  </conditionalFormatting>
  <conditionalFormatting sqref="CB84">
    <cfRule type="expression" dxfId="7" priority="8">
      <formula>AND(#REF!&lt;&gt;"", CB84&gt;=90)</formula>
    </cfRule>
  </conditionalFormatting>
  <conditionalFormatting sqref="E85:BZ85">
    <cfRule type="expression" dxfId="6" priority="7">
      <formula>AND(#REF!&gt;0,E85&lt;60)</formula>
    </cfRule>
  </conditionalFormatting>
  <conditionalFormatting sqref="E85:BZ85">
    <cfRule type="expression" dxfId="5" priority="6">
      <formula>AND(#REF!&gt;0,E85&lt;75)</formula>
    </cfRule>
  </conditionalFormatting>
  <conditionalFormatting sqref="E85:BZ85">
    <cfRule type="expression" dxfId="4" priority="5">
      <formula>AND(#REF!&gt;0,E85&lt;90)</formula>
    </cfRule>
  </conditionalFormatting>
  <conditionalFormatting sqref="E85:BZ85">
    <cfRule type="cellIs" dxfId="3" priority="4" operator="greaterThanOrEqual">
      <formula>AND(#REF!&gt;0,E85&gt;=90)</formula>
    </cfRule>
  </conditionalFormatting>
  <conditionalFormatting sqref="E85:BZ85">
    <cfRule type="expression" dxfId="2" priority="3">
      <formula>(E62="")</formula>
    </cfRule>
  </conditionalFormatting>
  <conditionalFormatting sqref="AV84:BZ84">
    <cfRule type="expression" dxfId="1" priority="2">
      <formula>(#REF!="")</formula>
    </cfRule>
  </conditionalFormatting>
  <conditionalFormatting sqref="CA83:CA84 CB84">
    <cfRule type="expression" dxfId="0" priority="1">
      <formula>(#REF!="")</formula>
    </cfRule>
  </conditionalFormatting>
  <dataValidations count="3">
    <dataValidation type="list" allowBlank="1" showErrorMessage="1" sqref="CA4">
      <formula1>"THEORY,ACTIVITY,SELF STUDY"</formula1>
    </dataValidation>
    <dataValidation type="custom" allowBlank="1" showDropDown="1" showErrorMessage="1" sqref="E62:BZ83">
      <formula1>AND(#REF!&lt;&gt; "", E62="P")</formula1>
    </dataValidation>
    <dataValidation type="list" allowBlank="1" showDropDown="1" showErrorMessage="1" sqref="E8:BZ61">
      <formula1>"1,2"</formula1>
    </dataValidation>
  </dataValidations>
  <pageMargins left="0.3" right="0.3" top="0.55000000000000004" bottom="0.3" header="0" footer="0"/>
  <pageSetup paperSize="9" scale="64" fitToHeight="0" pageOrder="overThenDown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J105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.75" customHeight="1"/>
  <cols>
    <col min="1" max="2" width="5.28515625" customWidth="1"/>
    <col min="3" max="3" width="8.5703125" customWidth="1"/>
    <col min="4" max="4" width="6.140625" customWidth="1"/>
    <col min="5" max="5" width="5.5703125" customWidth="1"/>
    <col min="6" max="6" width="8.7109375" customWidth="1"/>
    <col min="7" max="7" width="6.85546875" customWidth="1"/>
    <col min="8" max="8" width="34.85546875" customWidth="1"/>
    <col min="9" max="9" width="3.5703125" customWidth="1"/>
    <col min="10" max="10" width="11.5703125" customWidth="1"/>
    <col min="11" max="11" width="12.140625" customWidth="1"/>
    <col min="12" max="12" width="14" customWidth="1"/>
    <col min="13" max="13" width="29.140625" customWidth="1"/>
    <col min="14" max="14" width="23.42578125" customWidth="1"/>
    <col min="15" max="15" width="15.5703125" customWidth="1"/>
    <col min="16" max="16" width="9" customWidth="1"/>
    <col min="17" max="17" width="7.28515625" customWidth="1"/>
    <col min="18" max="18" width="6.7109375" customWidth="1"/>
    <col min="19" max="19" width="7.28515625" customWidth="1"/>
    <col min="20" max="20" width="9.28515625" customWidth="1"/>
    <col min="21" max="21" width="5.42578125" customWidth="1"/>
    <col min="22" max="22" width="6.7109375" customWidth="1"/>
    <col min="23" max="23" width="21.42578125" customWidth="1"/>
    <col min="24" max="36" width="11.5703125" customWidth="1"/>
  </cols>
  <sheetData>
    <row r="1" spans="1:36" ht="15.75" customHeight="1">
      <c r="A1" s="16"/>
      <c r="B1" s="77" t="e">
        <f>#REF!</f>
        <v>#REF!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ht="15.75" customHeight="1">
      <c r="A2" s="1"/>
      <c r="B2" s="78" t="s">
        <v>41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customHeight="1">
      <c r="A3" s="17"/>
      <c r="B3" s="79" t="e">
        <f>#REF! &amp; " Semester, " &amp;#REF!</f>
        <v>#REF!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 spans="1:36" ht="15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ht="15.75" customHeight="1">
      <c r="A5" s="19" t="s">
        <v>9</v>
      </c>
      <c r="B5" s="20" t="s">
        <v>17</v>
      </c>
      <c r="C5" s="20" t="s">
        <v>18</v>
      </c>
      <c r="D5" s="20" t="s">
        <v>19</v>
      </c>
      <c r="E5" s="20" t="s">
        <v>20</v>
      </c>
      <c r="F5" s="20" t="s">
        <v>14</v>
      </c>
      <c r="G5" s="20" t="s">
        <v>21</v>
      </c>
      <c r="H5" s="20" t="s">
        <v>22</v>
      </c>
      <c r="I5" s="20" t="s">
        <v>23</v>
      </c>
      <c r="J5" s="20" t="s">
        <v>24</v>
      </c>
      <c r="K5" s="20" t="s">
        <v>25</v>
      </c>
      <c r="L5" s="20" t="s">
        <v>26</v>
      </c>
      <c r="M5" s="20" t="s">
        <v>27</v>
      </c>
      <c r="N5" s="20" t="s">
        <v>28</v>
      </c>
      <c r="O5" s="20" t="s">
        <v>29</v>
      </c>
      <c r="P5" s="20" t="s">
        <v>30</v>
      </c>
      <c r="Q5" s="20" t="s">
        <v>31</v>
      </c>
      <c r="R5" s="20" t="s">
        <v>32</v>
      </c>
      <c r="S5" s="20" t="s">
        <v>33</v>
      </c>
      <c r="T5" s="20" t="s">
        <v>34</v>
      </c>
      <c r="U5" s="20" t="s">
        <v>35</v>
      </c>
      <c r="V5" s="20" t="s">
        <v>36</v>
      </c>
      <c r="W5" s="20" t="s">
        <v>37</v>
      </c>
      <c r="X5" s="20" t="s">
        <v>38</v>
      </c>
      <c r="Y5" s="20" t="s">
        <v>39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ht="15.75" customHeight="1">
      <c r="A6" s="22">
        <v>1</v>
      </c>
      <c r="B6" s="23">
        <f ca="1">IFERROR(__xludf.DUMMYFUNCTION("filter(importrange(Data!B60, ""Student!B6:Y200""), index(importrange(Data!B60, ""Student!E6:E200""))=Data!B7)"),939)</f>
        <v>939</v>
      </c>
      <c r="C6" s="24" t="str">
        <f ca="1">IFERROR(__xludf.DUMMYFUNCTION("""COMPUTED_VALUE"""),"COMP")</f>
        <v>COMP</v>
      </c>
      <c r="D6" s="24" t="str">
        <f ca="1">IFERROR(__xludf.DUMMYFUNCTION("""COMPUTED_VALUE"""),"SE")</f>
        <v>SE</v>
      </c>
      <c r="E6" s="24" t="str">
        <f ca="1">IFERROR(__xludf.DUMMYFUNCTION("""COMPUTED_VALUE"""),"")</f>
        <v/>
      </c>
      <c r="F6" s="24">
        <f ca="1">IFERROR(__xludf.DUMMYFUNCTION("""COMPUTED_VALUE"""),1821001)</f>
        <v>1821001</v>
      </c>
      <c r="G6" s="24" t="str">
        <f ca="1">IFERROR(__xludf.DUMMYFUNCTION("""COMPUTED_VALUE"""),"Ms.")</f>
        <v>Ms.</v>
      </c>
      <c r="H6" s="25" t="str">
        <f ca="1">IFERROR(__xludf.DUMMYFUNCTION("""COMPUTED_VALUE"""),"Adsul Swaranjali Jalindar")</f>
        <v>Adsul Swaranjali Jalindar</v>
      </c>
      <c r="I6" s="24" t="str">
        <f ca="1">IFERROR(__xludf.DUMMYFUNCTION("""COMPUTED_VALUE"""),"")</f>
        <v/>
      </c>
      <c r="J6" s="25" t="str">
        <f ca="1">IFERROR(__xludf.DUMMYFUNCTION("""COMPUTED_VALUE"""),"Adsul")</f>
        <v>Adsul</v>
      </c>
      <c r="K6" s="25" t="str">
        <f ca="1">IFERROR(__xludf.DUMMYFUNCTION("""COMPUTED_VALUE"""),"Swaranjali")</f>
        <v>Swaranjali</v>
      </c>
      <c r="L6" s="25" t="str">
        <f ca="1">IFERROR(__xludf.DUMMYFUNCTION("""COMPUTED_VALUE"""),"Jalindar")</f>
        <v>Jalindar</v>
      </c>
      <c r="M6" s="25" t="str">
        <f ca="1">IFERROR(__xludf.DUMMYFUNCTION("""COMPUTED_VALUE"""),"Adsul Swaranjali Jalindar")</f>
        <v>Adsul Swaranjali Jalindar</v>
      </c>
      <c r="N6" s="25" t="str">
        <f ca="1">IFERROR(__xludf.DUMMYFUNCTION("""COMPUTED_VALUE"""),"Adsul Swaranjali J.")</f>
        <v>Adsul Swaranjali J.</v>
      </c>
      <c r="O6" s="25" t="str">
        <f ca="1">IFERROR(__xludf.DUMMYFUNCTION("""COMPUTED_VALUE"""),"Adsul S. J.")</f>
        <v>Adsul S. J.</v>
      </c>
      <c r="P6" s="24" t="str">
        <f ca="1">IFERROR(__xludf.DUMMYFUNCTION("""COMPUTED_VALUE"""),"REG")</f>
        <v>REG</v>
      </c>
      <c r="Q6" s="26" t="str">
        <f ca="1">IFERROR(__xludf.DUMMYFUNCTION("""COMPUTED_VALUE"""),"")</f>
        <v/>
      </c>
      <c r="R6" s="25" t="str">
        <f ca="1">IFERROR(__xludf.DUMMYFUNCTION("""COMPUTED_VALUE"""),"")</f>
        <v/>
      </c>
      <c r="S6" s="26" t="str">
        <f ca="1">IFERROR(__xludf.DUMMYFUNCTION("""COMPUTED_VALUE"""),"")</f>
        <v/>
      </c>
      <c r="T6" s="24" t="str">
        <f ca="1">IFERROR(__xludf.DUMMYFUNCTION("""COMPUTED_VALUE"""),"OBC")</f>
        <v>OBC</v>
      </c>
      <c r="U6" s="24" t="str">
        <f ca="1">IFERROR(__xludf.DUMMYFUNCTION("""COMPUTED_VALUE"""),"F")</f>
        <v>F</v>
      </c>
      <c r="V6" s="24">
        <f ca="1">IFERROR(__xludf.DUMMYFUNCTION("""COMPUTED_VALUE"""),2017)</f>
        <v>2017</v>
      </c>
      <c r="W6" s="25" t="str">
        <f ca="1">IFERROR(__xludf.DUMMYFUNCTION("""COMPUTED_VALUE"""),"A/P-Lalgun Tal-Khatav Dist-Satara-415503, M-9665543472")</f>
        <v>A/P-Lalgun Tal-Khatav Dist-Satara-415503, M-9665543472</v>
      </c>
      <c r="X6" s="24">
        <f ca="1">IFERROR(__xludf.DUMMYFUNCTION("""COMPUTED_VALUE"""),9665543472)</f>
        <v>9665543472</v>
      </c>
      <c r="Y6" s="24">
        <f ca="1">IFERROR(__xludf.DUMMYFUNCTION("""COMPUTED_VALUE"""),9689526983)</f>
        <v>9689526983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t="15.75" customHeight="1">
      <c r="A7" s="22">
        <v>2</v>
      </c>
      <c r="B7" s="27">
        <f ca="1">IFERROR(__xludf.DUMMYFUNCTION("""COMPUTED_VALUE"""),940)</f>
        <v>940</v>
      </c>
      <c r="C7" s="24" t="str">
        <f ca="1">IFERROR(__xludf.DUMMYFUNCTION("""COMPUTED_VALUE"""),"COMP")</f>
        <v>COMP</v>
      </c>
      <c r="D7" s="24" t="str">
        <f ca="1">IFERROR(__xludf.DUMMYFUNCTION("""COMPUTED_VALUE"""),"SE")</f>
        <v>SE</v>
      </c>
      <c r="E7" s="24" t="str">
        <f ca="1">IFERROR(__xludf.DUMMYFUNCTION("""COMPUTED_VALUE"""),"")</f>
        <v/>
      </c>
      <c r="F7" s="24">
        <f ca="1">IFERROR(__xludf.DUMMYFUNCTION("""COMPUTED_VALUE"""),1821003)</f>
        <v>1821003</v>
      </c>
      <c r="G7" s="24" t="str">
        <f ca="1">IFERROR(__xludf.DUMMYFUNCTION("""COMPUTED_VALUE"""),"Mr.")</f>
        <v>Mr.</v>
      </c>
      <c r="H7" s="25" t="str">
        <f ca="1">IFERROR(__xludf.DUMMYFUNCTION("""COMPUTED_VALUE"""),"Bhosale Shubham Jagannath")</f>
        <v>Bhosale Shubham Jagannath</v>
      </c>
      <c r="I7" s="24" t="str">
        <f ca="1">IFERROR(__xludf.DUMMYFUNCTION("""COMPUTED_VALUE"""),"")</f>
        <v/>
      </c>
      <c r="J7" s="25" t="str">
        <f ca="1">IFERROR(__xludf.DUMMYFUNCTION("""COMPUTED_VALUE"""),"Bhosale")</f>
        <v>Bhosale</v>
      </c>
      <c r="K7" s="25" t="str">
        <f ca="1">IFERROR(__xludf.DUMMYFUNCTION("""COMPUTED_VALUE"""),"Shubham")</f>
        <v>Shubham</v>
      </c>
      <c r="L7" s="25" t="str">
        <f ca="1">IFERROR(__xludf.DUMMYFUNCTION("""COMPUTED_VALUE"""),"Jagannath")</f>
        <v>Jagannath</v>
      </c>
      <c r="M7" s="25" t="str">
        <f ca="1">IFERROR(__xludf.DUMMYFUNCTION("""COMPUTED_VALUE"""),"Bhosale Shubham Jagannath")</f>
        <v>Bhosale Shubham Jagannath</v>
      </c>
      <c r="N7" s="25" t="str">
        <f ca="1">IFERROR(__xludf.DUMMYFUNCTION("""COMPUTED_VALUE"""),"Bhosale Shubham J.")</f>
        <v>Bhosale Shubham J.</v>
      </c>
      <c r="O7" s="25" t="str">
        <f ca="1">IFERROR(__xludf.DUMMYFUNCTION("""COMPUTED_VALUE"""),"Bhosale S. J.")</f>
        <v>Bhosale S. J.</v>
      </c>
      <c r="P7" s="24" t="str">
        <f ca="1">IFERROR(__xludf.DUMMYFUNCTION("""COMPUTED_VALUE"""),"REG")</f>
        <v>REG</v>
      </c>
      <c r="Q7" s="26" t="str">
        <f ca="1">IFERROR(__xludf.DUMMYFUNCTION("""COMPUTED_VALUE"""),"")</f>
        <v/>
      </c>
      <c r="R7" s="26" t="str">
        <f ca="1">IFERROR(__xludf.DUMMYFUNCTION("""COMPUTED_VALUE"""),"")</f>
        <v/>
      </c>
      <c r="S7" s="26" t="str">
        <f ca="1">IFERROR(__xludf.DUMMYFUNCTION("""COMPUTED_VALUE"""),"")</f>
        <v/>
      </c>
      <c r="T7" s="24" t="str">
        <f ca="1">IFERROR(__xludf.DUMMYFUNCTION("""COMPUTED_VALUE"""),"OPEN")</f>
        <v>OPEN</v>
      </c>
      <c r="U7" s="24" t="str">
        <f ca="1">IFERROR(__xludf.DUMMYFUNCTION("""COMPUTED_VALUE"""),"M")</f>
        <v>M</v>
      </c>
      <c r="V7" s="24">
        <f ca="1">IFERROR(__xludf.DUMMYFUNCTION("""COMPUTED_VALUE"""),2017)</f>
        <v>2017</v>
      </c>
      <c r="W7" s="25" t="str">
        <f ca="1">IFERROR(__xludf.DUMMYFUNCTION("""COMPUTED_VALUE"""),"At Kolawadi Post Revadi Tal.Koregaon Dist. Satara-415011")</f>
        <v>At Kolawadi Post Revadi Tal.Koregaon Dist. Satara-415011</v>
      </c>
      <c r="X7" s="24">
        <f ca="1">IFERROR(__xludf.DUMMYFUNCTION("""COMPUTED_VALUE"""),9850538606)</f>
        <v>9850538606</v>
      </c>
      <c r="Y7" s="24">
        <f ca="1">IFERROR(__xludf.DUMMYFUNCTION("""COMPUTED_VALUE"""),7378982965)</f>
        <v>7378982965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15.75" customHeight="1">
      <c r="A8" s="22">
        <v>3</v>
      </c>
      <c r="B8" s="27">
        <f ca="1">IFERROR(__xludf.DUMMYFUNCTION("""COMPUTED_VALUE"""),941)</f>
        <v>941</v>
      </c>
      <c r="C8" s="24" t="str">
        <f ca="1">IFERROR(__xludf.DUMMYFUNCTION("""COMPUTED_VALUE"""),"COMP")</f>
        <v>COMP</v>
      </c>
      <c r="D8" s="24" t="str">
        <f ca="1">IFERROR(__xludf.DUMMYFUNCTION("""COMPUTED_VALUE"""),"SE")</f>
        <v>SE</v>
      </c>
      <c r="E8" s="24" t="str">
        <f ca="1">IFERROR(__xludf.DUMMYFUNCTION("""COMPUTED_VALUE"""),"")</f>
        <v/>
      </c>
      <c r="F8" s="24">
        <f ca="1">IFERROR(__xludf.DUMMYFUNCTION("""COMPUTED_VALUE"""),1821006)</f>
        <v>1821006</v>
      </c>
      <c r="G8" s="24" t="str">
        <f ca="1">IFERROR(__xludf.DUMMYFUNCTION("""COMPUTED_VALUE"""),"Mr.")</f>
        <v>Mr.</v>
      </c>
      <c r="H8" s="25" t="str">
        <f ca="1">IFERROR(__xludf.DUMMYFUNCTION("""COMPUTED_VALUE"""),"Birajdar Kiran Shrishailya")</f>
        <v>Birajdar Kiran Shrishailya</v>
      </c>
      <c r="I8" s="24" t="str">
        <f ca="1">IFERROR(__xludf.DUMMYFUNCTION("""COMPUTED_VALUE"""),"")</f>
        <v/>
      </c>
      <c r="J8" s="25" t="str">
        <f ca="1">IFERROR(__xludf.DUMMYFUNCTION("""COMPUTED_VALUE"""),"Birajdar")</f>
        <v>Birajdar</v>
      </c>
      <c r="K8" s="25" t="str">
        <f ca="1">IFERROR(__xludf.DUMMYFUNCTION("""COMPUTED_VALUE"""),"Kiran")</f>
        <v>Kiran</v>
      </c>
      <c r="L8" s="25" t="str">
        <f ca="1">IFERROR(__xludf.DUMMYFUNCTION("""COMPUTED_VALUE"""),"Shrishailya")</f>
        <v>Shrishailya</v>
      </c>
      <c r="M8" s="25" t="str">
        <f ca="1">IFERROR(__xludf.DUMMYFUNCTION("""COMPUTED_VALUE"""),"Birajdar Kiran Shrishailya")</f>
        <v>Birajdar Kiran Shrishailya</v>
      </c>
      <c r="N8" s="25" t="str">
        <f ca="1">IFERROR(__xludf.DUMMYFUNCTION("""COMPUTED_VALUE"""),"Birajdar Kiran S.")</f>
        <v>Birajdar Kiran S.</v>
      </c>
      <c r="O8" s="25" t="str">
        <f ca="1">IFERROR(__xludf.DUMMYFUNCTION("""COMPUTED_VALUE"""),"Birajdar K. S.")</f>
        <v>Birajdar K. S.</v>
      </c>
      <c r="P8" s="24" t="str">
        <f ca="1">IFERROR(__xludf.DUMMYFUNCTION("""COMPUTED_VALUE"""),"REG")</f>
        <v>REG</v>
      </c>
      <c r="Q8" s="26" t="str">
        <f ca="1">IFERROR(__xludf.DUMMYFUNCTION("""COMPUTED_VALUE"""),"")</f>
        <v/>
      </c>
      <c r="R8" s="26" t="str">
        <f ca="1">IFERROR(__xludf.DUMMYFUNCTION("""COMPUTED_VALUE"""),"")</f>
        <v/>
      </c>
      <c r="S8" s="26" t="str">
        <f ca="1">IFERROR(__xludf.DUMMYFUNCTION("""COMPUTED_VALUE"""),"")</f>
        <v/>
      </c>
      <c r="T8" s="24" t="str">
        <f ca="1">IFERROR(__xludf.DUMMYFUNCTION("""COMPUTED_VALUE"""),"OPEN")</f>
        <v>OPEN</v>
      </c>
      <c r="U8" s="24" t="str">
        <f ca="1">IFERROR(__xludf.DUMMYFUNCTION("""COMPUTED_VALUE"""),"M")</f>
        <v>M</v>
      </c>
      <c r="V8" s="24">
        <f ca="1">IFERROR(__xludf.DUMMYFUNCTION("""COMPUTED_VALUE"""),2017)</f>
        <v>2017</v>
      </c>
      <c r="W8" s="25" t="str">
        <f ca="1">IFERROR(__xludf.DUMMYFUNCTION("""COMPUTED_VALUE"""),"Aai Niwas, Near S.T. Colony, Nilanga, Dist. Latur-413521")</f>
        <v>Aai Niwas, Near S.T. Colony, Nilanga, Dist. Latur-413521</v>
      </c>
      <c r="X8" s="24">
        <f ca="1">IFERROR(__xludf.DUMMYFUNCTION("""COMPUTED_VALUE"""),9423349526)</f>
        <v>9423349526</v>
      </c>
      <c r="Y8" s="24">
        <f ca="1">IFERROR(__xludf.DUMMYFUNCTION("""COMPUTED_VALUE"""),8421240066)</f>
        <v>8421240066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5.75" customHeight="1">
      <c r="A9" s="22">
        <v>4</v>
      </c>
      <c r="B9" s="27">
        <f ca="1">IFERROR(__xludf.DUMMYFUNCTION("""COMPUTED_VALUE"""),942)</f>
        <v>942</v>
      </c>
      <c r="C9" s="24" t="str">
        <f ca="1">IFERROR(__xludf.DUMMYFUNCTION("""COMPUTED_VALUE"""),"COMP")</f>
        <v>COMP</v>
      </c>
      <c r="D9" s="24" t="str">
        <f ca="1">IFERROR(__xludf.DUMMYFUNCTION("""COMPUTED_VALUE"""),"SE")</f>
        <v>SE</v>
      </c>
      <c r="E9" s="24" t="str">
        <f ca="1">IFERROR(__xludf.DUMMYFUNCTION("""COMPUTED_VALUE"""),"")</f>
        <v/>
      </c>
      <c r="F9" s="24">
        <f ca="1">IFERROR(__xludf.DUMMYFUNCTION("""COMPUTED_VALUE"""),1821008)</f>
        <v>1821008</v>
      </c>
      <c r="G9" s="24" t="str">
        <f ca="1">IFERROR(__xludf.DUMMYFUNCTION("""COMPUTED_VALUE"""),"Ms.")</f>
        <v>Ms.</v>
      </c>
      <c r="H9" s="25" t="str">
        <f ca="1">IFERROR(__xludf.DUMMYFUNCTION("""COMPUTED_VALUE"""),"Dadar Sujata Kamal")</f>
        <v>Dadar Sujata Kamal</v>
      </c>
      <c r="I9" s="24" t="str">
        <f ca="1">IFERROR(__xludf.DUMMYFUNCTION("""COMPUTED_VALUE"""),"")</f>
        <v/>
      </c>
      <c r="J9" s="25" t="str">
        <f ca="1">IFERROR(__xludf.DUMMYFUNCTION("""COMPUTED_VALUE"""),"Dadar")</f>
        <v>Dadar</v>
      </c>
      <c r="K9" s="25" t="str">
        <f ca="1">IFERROR(__xludf.DUMMYFUNCTION("""COMPUTED_VALUE"""),"Sujata")</f>
        <v>Sujata</v>
      </c>
      <c r="L9" s="25" t="str">
        <f ca="1">IFERROR(__xludf.DUMMYFUNCTION("""COMPUTED_VALUE"""),"Kamal")</f>
        <v>Kamal</v>
      </c>
      <c r="M9" s="25" t="str">
        <f ca="1">IFERROR(__xludf.DUMMYFUNCTION("""COMPUTED_VALUE"""),"Dadar Sujata Kamal")</f>
        <v>Dadar Sujata Kamal</v>
      </c>
      <c r="N9" s="25" t="str">
        <f ca="1">IFERROR(__xludf.DUMMYFUNCTION("""COMPUTED_VALUE"""),"Dadar Sujata K.")</f>
        <v>Dadar Sujata K.</v>
      </c>
      <c r="O9" s="25" t="str">
        <f ca="1">IFERROR(__xludf.DUMMYFUNCTION("""COMPUTED_VALUE"""),"Dadar S. K.")</f>
        <v>Dadar S. K.</v>
      </c>
      <c r="P9" s="24" t="str">
        <f ca="1">IFERROR(__xludf.DUMMYFUNCTION("""COMPUTED_VALUE"""),"REG")</f>
        <v>REG</v>
      </c>
      <c r="Q9" s="26" t="str">
        <f ca="1">IFERROR(__xludf.DUMMYFUNCTION("""COMPUTED_VALUE"""),"")</f>
        <v/>
      </c>
      <c r="R9" s="26" t="str">
        <f ca="1">IFERROR(__xludf.DUMMYFUNCTION("""COMPUTED_VALUE"""),"")</f>
        <v/>
      </c>
      <c r="S9" s="26" t="str">
        <f ca="1">IFERROR(__xludf.DUMMYFUNCTION("""COMPUTED_VALUE"""),"")</f>
        <v/>
      </c>
      <c r="T9" s="24" t="str">
        <f ca="1">IFERROR(__xludf.DUMMYFUNCTION("""COMPUTED_VALUE"""),"SC")</f>
        <v>SC</v>
      </c>
      <c r="U9" s="24" t="str">
        <f ca="1">IFERROR(__xludf.DUMMYFUNCTION("""COMPUTED_VALUE"""),"F")</f>
        <v>F</v>
      </c>
      <c r="V9" s="24">
        <f ca="1">IFERROR(__xludf.DUMMYFUNCTION("""COMPUTED_VALUE"""),2017)</f>
        <v>2017</v>
      </c>
      <c r="W9" s="25" t="str">
        <f ca="1">IFERROR(__xludf.DUMMYFUNCTION("""COMPUTED_VALUE"""),"At Chauphula Post Boripardhi Tal. Daund Dist Pune-412203")</f>
        <v>At Chauphula Post Boripardhi Tal. Daund Dist Pune-412203</v>
      </c>
      <c r="X9" s="24">
        <f ca="1">IFERROR(__xludf.DUMMYFUNCTION("""COMPUTED_VALUE"""),9890798846)</f>
        <v>9890798846</v>
      </c>
      <c r="Y9" s="24">
        <f ca="1">IFERROR(__xludf.DUMMYFUNCTION("""COMPUTED_VALUE"""),9766881946)</f>
        <v>9766881946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.75" customHeight="1">
      <c r="A10" s="22">
        <v>5</v>
      </c>
      <c r="B10" s="27">
        <f ca="1">IFERROR(__xludf.DUMMYFUNCTION("""COMPUTED_VALUE"""),943)</f>
        <v>943</v>
      </c>
      <c r="C10" s="24" t="str">
        <f ca="1">IFERROR(__xludf.DUMMYFUNCTION("""COMPUTED_VALUE"""),"COMP")</f>
        <v>COMP</v>
      </c>
      <c r="D10" s="24" t="str">
        <f ca="1">IFERROR(__xludf.DUMMYFUNCTION("""COMPUTED_VALUE"""),"SE")</f>
        <v>SE</v>
      </c>
      <c r="E10" s="24" t="str">
        <f ca="1">IFERROR(__xludf.DUMMYFUNCTION("""COMPUTED_VALUE"""),"")</f>
        <v/>
      </c>
      <c r="F10" s="24">
        <f ca="1">IFERROR(__xludf.DUMMYFUNCTION("""COMPUTED_VALUE"""),1821009)</f>
        <v>1821009</v>
      </c>
      <c r="G10" s="24" t="str">
        <f ca="1">IFERROR(__xludf.DUMMYFUNCTION("""COMPUTED_VALUE"""),"Ms.")</f>
        <v>Ms.</v>
      </c>
      <c r="H10" s="25" t="str">
        <f ca="1">IFERROR(__xludf.DUMMYFUNCTION("""COMPUTED_VALUE"""),"Dagade Shruti Dattatray")</f>
        <v>Dagade Shruti Dattatray</v>
      </c>
      <c r="I10" s="24" t="str">
        <f ca="1">IFERROR(__xludf.DUMMYFUNCTION("""COMPUTED_VALUE"""),"")</f>
        <v/>
      </c>
      <c r="J10" s="25" t="str">
        <f ca="1">IFERROR(__xludf.DUMMYFUNCTION("""COMPUTED_VALUE"""),"Dagade")</f>
        <v>Dagade</v>
      </c>
      <c r="K10" s="25" t="str">
        <f ca="1">IFERROR(__xludf.DUMMYFUNCTION("""COMPUTED_VALUE"""),"Shruti")</f>
        <v>Shruti</v>
      </c>
      <c r="L10" s="25" t="str">
        <f ca="1">IFERROR(__xludf.DUMMYFUNCTION("""COMPUTED_VALUE"""),"Dattatray")</f>
        <v>Dattatray</v>
      </c>
      <c r="M10" s="25" t="str">
        <f ca="1">IFERROR(__xludf.DUMMYFUNCTION("""COMPUTED_VALUE"""),"Dagade Shruti Dattatray")</f>
        <v>Dagade Shruti Dattatray</v>
      </c>
      <c r="N10" s="25" t="str">
        <f ca="1">IFERROR(__xludf.DUMMYFUNCTION("""COMPUTED_VALUE"""),"Dagade Shruti D.")</f>
        <v>Dagade Shruti D.</v>
      </c>
      <c r="O10" s="25" t="str">
        <f ca="1">IFERROR(__xludf.DUMMYFUNCTION("""COMPUTED_VALUE"""),"Dagade S. D.")</f>
        <v>Dagade S. D.</v>
      </c>
      <c r="P10" s="24" t="str">
        <f ca="1">IFERROR(__xludf.DUMMYFUNCTION("""COMPUTED_VALUE"""),"REG")</f>
        <v>REG</v>
      </c>
      <c r="Q10" s="26" t="str">
        <f ca="1">IFERROR(__xludf.DUMMYFUNCTION("""COMPUTED_VALUE"""),"")</f>
        <v/>
      </c>
      <c r="R10" s="26" t="str">
        <f ca="1">IFERROR(__xludf.DUMMYFUNCTION("""COMPUTED_VALUE"""),"")</f>
        <v/>
      </c>
      <c r="S10" s="26" t="str">
        <f ca="1">IFERROR(__xludf.DUMMYFUNCTION("""COMPUTED_VALUE"""),"")</f>
        <v/>
      </c>
      <c r="T10" s="24" t="str">
        <f ca="1">IFERROR(__xludf.DUMMYFUNCTION("""COMPUTED_VALUE"""),"OBC")</f>
        <v>OBC</v>
      </c>
      <c r="U10" s="24" t="str">
        <f ca="1">IFERROR(__xludf.DUMMYFUNCTION("""COMPUTED_VALUE"""),"F")</f>
        <v>F</v>
      </c>
      <c r="V10" s="24">
        <f ca="1">IFERROR(__xludf.DUMMYFUNCTION("""COMPUTED_VALUE"""),2017)</f>
        <v>2017</v>
      </c>
      <c r="W10" s="25" t="str">
        <f ca="1">IFERROR(__xludf.DUMMYFUNCTION("""COMPUTED_VALUE"""),"At Malewadi Post Karanje Tal.Baramati Dist Pune-412306")</f>
        <v>At Malewadi Post Karanje Tal.Baramati Dist Pune-412306</v>
      </c>
      <c r="X10" s="24">
        <f ca="1">IFERROR(__xludf.DUMMYFUNCTION("""COMPUTED_VALUE"""),9421019058)</f>
        <v>9421019058</v>
      </c>
      <c r="Y10" s="24">
        <f ca="1">IFERROR(__xludf.DUMMYFUNCTION("""COMPUTED_VALUE"""),9421019058)</f>
        <v>9421019058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.75" customHeight="1">
      <c r="A11" s="22">
        <v>6</v>
      </c>
      <c r="B11" s="27">
        <f ca="1">IFERROR(__xludf.DUMMYFUNCTION("""COMPUTED_VALUE"""),944)</f>
        <v>944</v>
      </c>
      <c r="C11" s="24" t="str">
        <f ca="1">IFERROR(__xludf.DUMMYFUNCTION("""COMPUTED_VALUE"""),"COMP")</f>
        <v>COMP</v>
      </c>
      <c r="D11" s="24" t="str">
        <f ca="1">IFERROR(__xludf.DUMMYFUNCTION("""COMPUTED_VALUE"""),"SE")</f>
        <v>SE</v>
      </c>
      <c r="E11" s="24" t="str">
        <f ca="1">IFERROR(__xludf.DUMMYFUNCTION("""COMPUTED_VALUE"""),"")</f>
        <v/>
      </c>
      <c r="F11" s="24">
        <f ca="1">IFERROR(__xludf.DUMMYFUNCTION("""COMPUTED_VALUE"""),1821010)</f>
        <v>1821010</v>
      </c>
      <c r="G11" s="24" t="str">
        <f ca="1">IFERROR(__xludf.DUMMYFUNCTION("""COMPUTED_VALUE"""),"Mr.")</f>
        <v>Mr.</v>
      </c>
      <c r="H11" s="25" t="str">
        <f ca="1">IFERROR(__xludf.DUMMYFUNCTION("""COMPUTED_VALUE"""),"Devkule Akash Anandrao")</f>
        <v>Devkule Akash Anandrao</v>
      </c>
      <c r="I11" s="24" t="str">
        <f ca="1">IFERROR(__xludf.DUMMYFUNCTION("""COMPUTED_VALUE"""),"")</f>
        <v/>
      </c>
      <c r="J11" s="25" t="str">
        <f ca="1">IFERROR(__xludf.DUMMYFUNCTION("""COMPUTED_VALUE"""),"Devkule")</f>
        <v>Devkule</v>
      </c>
      <c r="K11" s="25" t="str">
        <f ca="1">IFERROR(__xludf.DUMMYFUNCTION("""COMPUTED_VALUE"""),"Akash")</f>
        <v>Akash</v>
      </c>
      <c r="L11" s="25" t="str">
        <f ca="1">IFERROR(__xludf.DUMMYFUNCTION("""COMPUTED_VALUE"""),"Anandrao")</f>
        <v>Anandrao</v>
      </c>
      <c r="M11" s="25" t="str">
        <f ca="1">IFERROR(__xludf.DUMMYFUNCTION("""COMPUTED_VALUE"""),"Devkule Akash Anandrao")</f>
        <v>Devkule Akash Anandrao</v>
      </c>
      <c r="N11" s="25" t="str">
        <f ca="1">IFERROR(__xludf.DUMMYFUNCTION("""COMPUTED_VALUE"""),"Devkule Akash A.")</f>
        <v>Devkule Akash A.</v>
      </c>
      <c r="O11" s="25" t="str">
        <f ca="1">IFERROR(__xludf.DUMMYFUNCTION("""COMPUTED_VALUE"""),"Devkule A. A.")</f>
        <v>Devkule A. A.</v>
      </c>
      <c r="P11" s="24" t="str">
        <f ca="1">IFERROR(__xludf.DUMMYFUNCTION("""COMPUTED_VALUE"""),"REG")</f>
        <v>REG</v>
      </c>
      <c r="Q11" s="26" t="str">
        <f ca="1">IFERROR(__xludf.DUMMYFUNCTION("""COMPUTED_VALUE"""),"")</f>
        <v/>
      </c>
      <c r="R11" s="26" t="str">
        <f ca="1">IFERROR(__xludf.DUMMYFUNCTION("""COMPUTED_VALUE"""),"")</f>
        <v/>
      </c>
      <c r="S11" s="26" t="str">
        <f ca="1">IFERROR(__xludf.DUMMYFUNCTION("""COMPUTED_VALUE"""),"")</f>
        <v/>
      </c>
      <c r="T11" s="24" t="str">
        <f ca="1">IFERROR(__xludf.DUMMYFUNCTION("""COMPUTED_VALUE"""),"SC")</f>
        <v>SC</v>
      </c>
      <c r="U11" s="24" t="str">
        <f ca="1">IFERROR(__xludf.DUMMYFUNCTION("""COMPUTED_VALUE"""),"M")</f>
        <v>M</v>
      </c>
      <c r="V11" s="24">
        <f ca="1">IFERROR(__xludf.DUMMYFUNCTION("""COMPUTED_VALUE"""),2017)</f>
        <v>2017</v>
      </c>
      <c r="W11" s="25" t="str">
        <f ca="1">IFERROR(__xludf.DUMMYFUNCTION("""COMPUTED_VALUE"""),"At Malikhora Post Palashi Tal. Man Dist Satara-415540")</f>
        <v>At Malikhora Post Palashi Tal. Man Dist Satara-415540</v>
      </c>
      <c r="X11" s="24">
        <f ca="1">IFERROR(__xludf.DUMMYFUNCTION("""COMPUTED_VALUE"""),9850802131)</f>
        <v>9850802131</v>
      </c>
      <c r="Y11" s="24">
        <f ca="1">IFERROR(__xludf.DUMMYFUNCTION("""COMPUTED_VALUE"""),8698732656)</f>
        <v>8698732656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.75" customHeight="1">
      <c r="A12" s="22">
        <v>7</v>
      </c>
      <c r="B12" s="27">
        <f ca="1">IFERROR(__xludf.DUMMYFUNCTION("""COMPUTED_VALUE"""),945)</f>
        <v>945</v>
      </c>
      <c r="C12" s="24" t="str">
        <f ca="1">IFERROR(__xludf.DUMMYFUNCTION("""COMPUTED_VALUE"""),"COMP")</f>
        <v>COMP</v>
      </c>
      <c r="D12" s="24" t="str">
        <f ca="1">IFERROR(__xludf.DUMMYFUNCTION("""COMPUTED_VALUE"""),"SE")</f>
        <v>SE</v>
      </c>
      <c r="E12" s="24" t="str">
        <f ca="1">IFERROR(__xludf.DUMMYFUNCTION("""COMPUTED_VALUE"""),"")</f>
        <v/>
      </c>
      <c r="F12" s="24">
        <f ca="1">IFERROR(__xludf.DUMMYFUNCTION("""COMPUTED_VALUE"""),1821011)</f>
        <v>1821011</v>
      </c>
      <c r="G12" s="24" t="str">
        <f ca="1">IFERROR(__xludf.DUMMYFUNCTION("""COMPUTED_VALUE"""),"Ms.")</f>
        <v>Ms.</v>
      </c>
      <c r="H12" s="25" t="str">
        <f ca="1">IFERROR(__xludf.DUMMYFUNCTION("""COMPUTED_VALUE"""),"Divekar Shivani Ravindra")</f>
        <v>Divekar Shivani Ravindra</v>
      </c>
      <c r="I12" s="24" t="str">
        <f ca="1">IFERROR(__xludf.DUMMYFUNCTION("""COMPUTED_VALUE"""),"")</f>
        <v/>
      </c>
      <c r="J12" s="25" t="str">
        <f ca="1">IFERROR(__xludf.DUMMYFUNCTION("""COMPUTED_VALUE"""),"Divekar")</f>
        <v>Divekar</v>
      </c>
      <c r="K12" s="25" t="str">
        <f ca="1">IFERROR(__xludf.DUMMYFUNCTION("""COMPUTED_VALUE"""),"Shivani")</f>
        <v>Shivani</v>
      </c>
      <c r="L12" s="25" t="str">
        <f ca="1">IFERROR(__xludf.DUMMYFUNCTION("""COMPUTED_VALUE"""),"Ravindra")</f>
        <v>Ravindra</v>
      </c>
      <c r="M12" s="25" t="str">
        <f ca="1">IFERROR(__xludf.DUMMYFUNCTION("""COMPUTED_VALUE"""),"Divekar Shivani Ravindra")</f>
        <v>Divekar Shivani Ravindra</v>
      </c>
      <c r="N12" s="25" t="str">
        <f ca="1">IFERROR(__xludf.DUMMYFUNCTION("""COMPUTED_VALUE"""),"Divekar Shivani R.")</f>
        <v>Divekar Shivani R.</v>
      </c>
      <c r="O12" s="25" t="str">
        <f ca="1">IFERROR(__xludf.DUMMYFUNCTION("""COMPUTED_VALUE"""),"Divekar S. R.")</f>
        <v>Divekar S. R.</v>
      </c>
      <c r="P12" s="24" t="str">
        <f ca="1">IFERROR(__xludf.DUMMYFUNCTION("""COMPUTED_VALUE"""),"REG")</f>
        <v>REG</v>
      </c>
      <c r="Q12" s="26" t="str">
        <f ca="1">IFERROR(__xludf.DUMMYFUNCTION("""COMPUTED_VALUE"""),"")</f>
        <v/>
      </c>
      <c r="R12" s="26" t="str">
        <f ca="1">IFERROR(__xludf.DUMMYFUNCTION("""COMPUTED_VALUE"""),"")</f>
        <v/>
      </c>
      <c r="S12" s="26" t="str">
        <f ca="1">IFERROR(__xludf.DUMMYFUNCTION("""COMPUTED_VALUE"""),"")</f>
        <v/>
      </c>
      <c r="T12" s="24" t="str">
        <f ca="1">IFERROR(__xludf.DUMMYFUNCTION("""COMPUTED_VALUE"""),"OPEN")</f>
        <v>OPEN</v>
      </c>
      <c r="U12" s="24" t="str">
        <f ca="1">IFERROR(__xludf.DUMMYFUNCTION("""COMPUTED_VALUE"""),"F")</f>
        <v>F</v>
      </c>
      <c r="V12" s="24">
        <f ca="1">IFERROR(__xludf.DUMMYFUNCTION("""COMPUTED_VALUE"""),2017)</f>
        <v>2017</v>
      </c>
      <c r="W12" s="25" t="str">
        <f ca="1">IFERROR(__xludf.DUMMYFUNCTION("""COMPUTED_VALUE"""),"A.P. Varwand Tal.Daund Dist. Pune-412215")</f>
        <v>A.P. Varwand Tal.Daund Dist. Pune-412215</v>
      </c>
      <c r="X12" s="24">
        <f ca="1">IFERROR(__xludf.DUMMYFUNCTION("""COMPUTED_VALUE"""),9890908642)</f>
        <v>9890908642</v>
      </c>
      <c r="Y12" s="24">
        <f ca="1">IFERROR(__xludf.DUMMYFUNCTION("""COMPUTED_VALUE"""),9834007510)</f>
        <v>9834007510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5.75" customHeight="1">
      <c r="A13" s="22">
        <v>8</v>
      </c>
      <c r="B13" s="27">
        <f ca="1">IFERROR(__xludf.DUMMYFUNCTION("""COMPUTED_VALUE"""),946)</f>
        <v>946</v>
      </c>
      <c r="C13" s="24" t="str">
        <f ca="1">IFERROR(__xludf.DUMMYFUNCTION("""COMPUTED_VALUE"""),"COMP")</f>
        <v>COMP</v>
      </c>
      <c r="D13" s="24" t="str">
        <f ca="1">IFERROR(__xludf.DUMMYFUNCTION("""COMPUTED_VALUE"""),"SE")</f>
        <v>SE</v>
      </c>
      <c r="E13" s="24" t="str">
        <f ca="1">IFERROR(__xludf.DUMMYFUNCTION("""COMPUTED_VALUE"""),"")</f>
        <v/>
      </c>
      <c r="F13" s="24">
        <f ca="1">IFERROR(__xludf.DUMMYFUNCTION("""COMPUTED_VALUE"""),1821013)</f>
        <v>1821013</v>
      </c>
      <c r="G13" s="24" t="str">
        <f ca="1">IFERROR(__xludf.DUMMYFUNCTION("""COMPUTED_VALUE"""),"Mr.")</f>
        <v>Mr.</v>
      </c>
      <c r="H13" s="25" t="str">
        <f ca="1">IFERROR(__xludf.DUMMYFUNCTION("""COMPUTED_VALUE"""),"Fulari Anuj Namdeo")</f>
        <v>Fulari Anuj Namdeo</v>
      </c>
      <c r="I13" s="24" t="str">
        <f ca="1">IFERROR(__xludf.DUMMYFUNCTION("""COMPUTED_VALUE"""),"")</f>
        <v/>
      </c>
      <c r="J13" s="25" t="str">
        <f ca="1">IFERROR(__xludf.DUMMYFUNCTION("""COMPUTED_VALUE"""),"Fulari")</f>
        <v>Fulari</v>
      </c>
      <c r="K13" s="25" t="str">
        <f ca="1">IFERROR(__xludf.DUMMYFUNCTION("""COMPUTED_VALUE"""),"Anuj")</f>
        <v>Anuj</v>
      </c>
      <c r="L13" s="25" t="str">
        <f ca="1">IFERROR(__xludf.DUMMYFUNCTION("""COMPUTED_VALUE"""),"Namdeo")</f>
        <v>Namdeo</v>
      </c>
      <c r="M13" s="25" t="str">
        <f ca="1">IFERROR(__xludf.DUMMYFUNCTION("""COMPUTED_VALUE"""),"Fulari Anuj Namdeo")</f>
        <v>Fulari Anuj Namdeo</v>
      </c>
      <c r="N13" s="25" t="str">
        <f ca="1">IFERROR(__xludf.DUMMYFUNCTION("""COMPUTED_VALUE"""),"Fulari Anuj N.")</f>
        <v>Fulari Anuj N.</v>
      </c>
      <c r="O13" s="25" t="str">
        <f ca="1">IFERROR(__xludf.DUMMYFUNCTION("""COMPUTED_VALUE"""),"Fulari A. N.")</f>
        <v>Fulari A. N.</v>
      </c>
      <c r="P13" s="24" t="str">
        <f ca="1">IFERROR(__xludf.DUMMYFUNCTION("""COMPUTED_VALUE"""),"REG")</f>
        <v>REG</v>
      </c>
      <c r="Q13" s="26" t="str">
        <f ca="1">IFERROR(__xludf.DUMMYFUNCTION("""COMPUTED_VALUE"""),"")</f>
        <v/>
      </c>
      <c r="R13" s="26" t="str">
        <f ca="1">IFERROR(__xludf.DUMMYFUNCTION("""COMPUTED_VALUE"""),"")</f>
        <v/>
      </c>
      <c r="S13" s="26" t="str">
        <f ca="1">IFERROR(__xludf.DUMMYFUNCTION("""COMPUTED_VALUE"""),"")</f>
        <v/>
      </c>
      <c r="T13" s="24" t="str">
        <f ca="1">IFERROR(__xludf.DUMMYFUNCTION("""COMPUTED_VALUE"""),"OBC")</f>
        <v>OBC</v>
      </c>
      <c r="U13" s="24" t="str">
        <f ca="1">IFERROR(__xludf.DUMMYFUNCTION("""COMPUTED_VALUE"""),"M")</f>
        <v>M</v>
      </c>
      <c r="V13" s="24">
        <f ca="1">IFERROR(__xludf.DUMMYFUNCTION("""COMPUTED_VALUE"""),2017)</f>
        <v>2017</v>
      </c>
      <c r="W13" s="25" t="str">
        <f ca="1">IFERROR(__xludf.DUMMYFUNCTION("""COMPUTED_VALUE"""),"Flat No. A-3, Siddhay Appartments, Sayali Hills, Baramati-413102")</f>
        <v>Flat No. A-3, Siddhay Appartments, Sayali Hills, Baramati-413102</v>
      </c>
      <c r="X13" s="24">
        <f ca="1">IFERROR(__xludf.DUMMYFUNCTION("""COMPUTED_VALUE"""),9860380000)</f>
        <v>9860380000</v>
      </c>
      <c r="Y13" s="24">
        <f ca="1">IFERROR(__xludf.DUMMYFUNCTION("""COMPUTED_VALUE"""),9890181111)</f>
        <v>9890181111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5.75" customHeight="1">
      <c r="A14" s="22">
        <v>9</v>
      </c>
      <c r="B14" s="27">
        <f ca="1">IFERROR(__xludf.DUMMYFUNCTION("""COMPUTED_VALUE"""),947)</f>
        <v>947</v>
      </c>
      <c r="C14" s="24" t="str">
        <f ca="1">IFERROR(__xludf.DUMMYFUNCTION("""COMPUTED_VALUE"""),"COMP")</f>
        <v>COMP</v>
      </c>
      <c r="D14" s="24" t="str">
        <f ca="1">IFERROR(__xludf.DUMMYFUNCTION("""COMPUTED_VALUE"""),"SE")</f>
        <v>SE</v>
      </c>
      <c r="E14" s="24" t="str">
        <f ca="1">IFERROR(__xludf.DUMMYFUNCTION("""COMPUTED_VALUE"""),"")</f>
        <v/>
      </c>
      <c r="F14" s="24">
        <f ca="1">IFERROR(__xludf.DUMMYFUNCTION("""COMPUTED_VALUE"""),1821015)</f>
        <v>1821015</v>
      </c>
      <c r="G14" s="24" t="str">
        <f ca="1">IFERROR(__xludf.DUMMYFUNCTION("""COMPUTED_VALUE"""),"Ms.")</f>
        <v>Ms.</v>
      </c>
      <c r="H14" s="25" t="str">
        <f ca="1">IFERROR(__xludf.DUMMYFUNCTION("""COMPUTED_VALUE"""),"Gandhi Dipti Deepak")</f>
        <v>Gandhi Dipti Deepak</v>
      </c>
      <c r="I14" s="24" t="str">
        <f ca="1">IFERROR(__xludf.DUMMYFUNCTION("""COMPUTED_VALUE"""),"")</f>
        <v/>
      </c>
      <c r="J14" s="25" t="str">
        <f ca="1">IFERROR(__xludf.DUMMYFUNCTION("""COMPUTED_VALUE"""),"Gandhi")</f>
        <v>Gandhi</v>
      </c>
      <c r="K14" s="25" t="str">
        <f ca="1">IFERROR(__xludf.DUMMYFUNCTION("""COMPUTED_VALUE"""),"Dipti")</f>
        <v>Dipti</v>
      </c>
      <c r="L14" s="25" t="str">
        <f ca="1">IFERROR(__xludf.DUMMYFUNCTION("""COMPUTED_VALUE"""),"Deepak")</f>
        <v>Deepak</v>
      </c>
      <c r="M14" s="25" t="str">
        <f ca="1">IFERROR(__xludf.DUMMYFUNCTION("""COMPUTED_VALUE"""),"Gandhi Dipti Deepak")</f>
        <v>Gandhi Dipti Deepak</v>
      </c>
      <c r="N14" s="25" t="str">
        <f ca="1">IFERROR(__xludf.DUMMYFUNCTION("""COMPUTED_VALUE"""),"Gandhi Dipti D.")</f>
        <v>Gandhi Dipti D.</v>
      </c>
      <c r="O14" s="25" t="str">
        <f ca="1">IFERROR(__xludf.DUMMYFUNCTION("""COMPUTED_VALUE"""),"Gandhi D. D.")</f>
        <v>Gandhi D. D.</v>
      </c>
      <c r="P14" s="24" t="str">
        <f ca="1">IFERROR(__xludf.DUMMYFUNCTION("""COMPUTED_VALUE"""),"REG")</f>
        <v>REG</v>
      </c>
      <c r="Q14" s="26" t="str">
        <f ca="1">IFERROR(__xludf.DUMMYFUNCTION("""COMPUTED_VALUE"""),"")</f>
        <v/>
      </c>
      <c r="R14" s="26" t="str">
        <f ca="1">IFERROR(__xludf.DUMMYFUNCTION("""COMPUTED_VALUE"""),"")</f>
        <v/>
      </c>
      <c r="S14" s="26" t="str">
        <f ca="1">IFERROR(__xludf.DUMMYFUNCTION("""COMPUTED_VALUE"""),"")</f>
        <v/>
      </c>
      <c r="T14" s="24" t="str">
        <f ca="1">IFERROR(__xludf.DUMMYFUNCTION("""COMPUTED_VALUE"""),"OPEN")</f>
        <v>OPEN</v>
      </c>
      <c r="U14" s="24" t="str">
        <f ca="1">IFERROR(__xludf.DUMMYFUNCTION("""COMPUTED_VALUE"""),"F")</f>
        <v>F</v>
      </c>
      <c r="V14" s="24">
        <f ca="1">IFERROR(__xludf.DUMMYFUNCTION("""COMPUTED_VALUE"""),2017)</f>
        <v>2017</v>
      </c>
      <c r="W14" s="25" t="str">
        <f ca="1">IFERROR(__xludf.DUMMYFUNCTION("""COMPUTED_VALUE"""),"Flat No.1, Jayashree Residency, Ashoknagar, Baramati-413102")</f>
        <v>Flat No.1, Jayashree Residency, Ashoknagar, Baramati-413102</v>
      </c>
      <c r="X14" s="24">
        <f ca="1">IFERROR(__xludf.DUMMYFUNCTION("""COMPUTED_VALUE"""),9860319969)</f>
        <v>9860319969</v>
      </c>
      <c r="Y14" s="24" t="str">
        <f ca="1">IFERROR(__xludf.DUMMYFUNCTION("""COMPUTED_VALUE"""),"-")</f>
        <v>-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5.75" customHeight="1">
      <c r="A15" s="22">
        <v>10</v>
      </c>
      <c r="B15" s="27">
        <f ca="1">IFERROR(__xludf.DUMMYFUNCTION("""COMPUTED_VALUE"""),948)</f>
        <v>948</v>
      </c>
      <c r="C15" s="24" t="str">
        <f ca="1">IFERROR(__xludf.DUMMYFUNCTION("""COMPUTED_VALUE"""),"COMP")</f>
        <v>COMP</v>
      </c>
      <c r="D15" s="24" t="str">
        <f ca="1">IFERROR(__xludf.DUMMYFUNCTION("""COMPUTED_VALUE"""),"SE")</f>
        <v>SE</v>
      </c>
      <c r="E15" s="24" t="str">
        <f ca="1">IFERROR(__xludf.DUMMYFUNCTION("""COMPUTED_VALUE"""),"")</f>
        <v/>
      </c>
      <c r="F15" s="24">
        <f ca="1">IFERROR(__xludf.DUMMYFUNCTION("""COMPUTED_VALUE"""),1821016)</f>
        <v>1821016</v>
      </c>
      <c r="G15" s="24" t="str">
        <f ca="1">IFERROR(__xludf.DUMMYFUNCTION("""COMPUTED_VALUE"""),"Ms.")</f>
        <v>Ms.</v>
      </c>
      <c r="H15" s="25" t="str">
        <f ca="1">IFERROR(__xludf.DUMMYFUNCTION("""COMPUTED_VALUE"""),"Gapat Namrata Ashok")</f>
        <v>Gapat Namrata Ashok</v>
      </c>
      <c r="I15" s="24" t="str">
        <f ca="1">IFERROR(__xludf.DUMMYFUNCTION("""COMPUTED_VALUE"""),"")</f>
        <v/>
      </c>
      <c r="J15" s="25" t="str">
        <f ca="1">IFERROR(__xludf.DUMMYFUNCTION("""COMPUTED_VALUE"""),"Gapat")</f>
        <v>Gapat</v>
      </c>
      <c r="K15" s="25" t="str">
        <f ca="1">IFERROR(__xludf.DUMMYFUNCTION("""COMPUTED_VALUE"""),"Namrata")</f>
        <v>Namrata</v>
      </c>
      <c r="L15" s="25" t="str">
        <f ca="1">IFERROR(__xludf.DUMMYFUNCTION("""COMPUTED_VALUE"""),"Ashok")</f>
        <v>Ashok</v>
      </c>
      <c r="M15" s="25" t="str">
        <f ca="1">IFERROR(__xludf.DUMMYFUNCTION("""COMPUTED_VALUE"""),"Gapat Namrata Ashok")</f>
        <v>Gapat Namrata Ashok</v>
      </c>
      <c r="N15" s="25" t="str">
        <f ca="1">IFERROR(__xludf.DUMMYFUNCTION("""COMPUTED_VALUE"""),"Gapat Namrata A.")</f>
        <v>Gapat Namrata A.</v>
      </c>
      <c r="O15" s="25" t="str">
        <f ca="1">IFERROR(__xludf.DUMMYFUNCTION("""COMPUTED_VALUE"""),"Gapat N. A.")</f>
        <v>Gapat N. A.</v>
      </c>
      <c r="P15" s="24" t="str">
        <f ca="1">IFERROR(__xludf.DUMMYFUNCTION("""COMPUTED_VALUE"""),"REG")</f>
        <v>REG</v>
      </c>
      <c r="Q15" s="26" t="str">
        <f ca="1">IFERROR(__xludf.DUMMYFUNCTION("""COMPUTED_VALUE"""),"")</f>
        <v/>
      </c>
      <c r="R15" s="26" t="str">
        <f ca="1">IFERROR(__xludf.DUMMYFUNCTION("""COMPUTED_VALUE"""),"")</f>
        <v/>
      </c>
      <c r="S15" s="26" t="str">
        <f ca="1">IFERROR(__xludf.DUMMYFUNCTION("""COMPUTED_VALUE"""),"")</f>
        <v/>
      </c>
      <c r="T15" s="24" t="str">
        <f ca="1">IFERROR(__xludf.DUMMYFUNCTION("""COMPUTED_VALUE"""),"OPEN")</f>
        <v>OPEN</v>
      </c>
      <c r="U15" s="24" t="str">
        <f ca="1">IFERROR(__xludf.DUMMYFUNCTION("""COMPUTED_VALUE"""),"F")</f>
        <v>F</v>
      </c>
      <c r="V15" s="24">
        <f ca="1">IFERROR(__xludf.DUMMYFUNCTION("""COMPUTED_VALUE"""),2017)</f>
        <v>2017</v>
      </c>
      <c r="W15" s="25" t="str">
        <f ca="1">IFERROR(__xludf.DUMMYFUNCTION("""COMPUTED_VALUE"""),"A.P. Indapur Tal Washi, Dist Osmanabad-413525")</f>
        <v>A.P. Indapur Tal Washi, Dist Osmanabad-413525</v>
      </c>
      <c r="X15" s="24">
        <f ca="1">IFERROR(__xludf.DUMMYFUNCTION("""COMPUTED_VALUE"""),9421353560)</f>
        <v>9421353560</v>
      </c>
      <c r="Y15" s="24">
        <f ca="1">IFERROR(__xludf.DUMMYFUNCTION("""COMPUTED_VALUE"""),9921489936)</f>
        <v>9921489936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5.75" customHeight="1">
      <c r="A16" s="22">
        <v>11</v>
      </c>
      <c r="B16" s="27">
        <f ca="1">IFERROR(__xludf.DUMMYFUNCTION("""COMPUTED_VALUE"""),949)</f>
        <v>949</v>
      </c>
      <c r="C16" s="24" t="str">
        <f ca="1">IFERROR(__xludf.DUMMYFUNCTION("""COMPUTED_VALUE"""),"COMP")</f>
        <v>COMP</v>
      </c>
      <c r="D16" s="24" t="str">
        <f ca="1">IFERROR(__xludf.DUMMYFUNCTION("""COMPUTED_VALUE"""),"SE")</f>
        <v>SE</v>
      </c>
      <c r="E16" s="24" t="str">
        <f ca="1">IFERROR(__xludf.DUMMYFUNCTION("""COMPUTED_VALUE"""),"")</f>
        <v/>
      </c>
      <c r="F16" s="24">
        <f ca="1">IFERROR(__xludf.DUMMYFUNCTION("""COMPUTED_VALUE"""),1821017)</f>
        <v>1821017</v>
      </c>
      <c r="G16" s="24" t="str">
        <f ca="1">IFERROR(__xludf.DUMMYFUNCTION("""COMPUTED_VALUE"""),"Ms.")</f>
        <v>Ms.</v>
      </c>
      <c r="H16" s="25" t="str">
        <f ca="1">IFERROR(__xludf.DUMMYFUNCTION("""COMPUTED_VALUE"""),"Gholap Shivani Sanjay")</f>
        <v>Gholap Shivani Sanjay</v>
      </c>
      <c r="I16" s="24" t="str">
        <f ca="1">IFERROR(__xludf.DUMMYFUNCTION("""COMPUTED_VALUE"""),"")</f>
        <v/>
      </c>
      <c r="J16" s="25" t="str">
        <f ca="1">IFERROR(__xludf.DUMMYFUNCTION("""COMPUTED_VALUE"""),"Gholap")</f>
        <v>Gholap</v>
      </c>
      <c r="K16" s="25" t="str">
        <f ca="1">IFERROR(__xludf.DUMMYFUNCTION("""COMPUTED_VALUE"""),"Shivani")</f>
        <v>Shivani</v>
      </c>
      <c r="L16" s="25" t="str">
        <f ca="1">IFERROR(__xludf.DUMMYFUNCTION("""COMPUTED_VALUE"""),"Sanjay")</f>
        <v>Sanjay</v>
      </c>
      <c r="M16" s="25" t="str">
        <f ca="1">IFERROR(__xludf.DUMMYFUNCTION("""COMPUTED_VALUE"""),"Gholap Shivani Sanjay")</f>
        <v>Gholap Shivani Sanjay</v>
      </c>
      <c r="N16" s="25" t="str">
        <f ca="1">IFERROR(__xludf.DUMMYFUNCTION("""COMPUTED_VALUE"""),"Gholap Shivani S.")</f>
        <v>Gholap Shivani S.</v>
      </c>
      <c r="O16" s="25" t="str">
        <f ca="1">IFERROR(__xludf.DUMMYFUNCTION("""COMPUTED_VALUE"""),"Gholap S. S.")</f>
        <v>Gholap S. S.</v>
      </c>
      <c r="P16" s="24" t="str">
        <f ca="1">IFERROR(__xludf.DUMMYFUNCTION("""COMPUTED_VALUE"""),"REG")</f>
        <v>REG</v>
      </c>
      <c r="Q16" s="26" t="str">
        <f ca="1">IFERROR(__xludf.DUMMYFUNCTION("""COMPUTED_VALUE"""),"")</f>
        <v/>
      </c>
      <c r="R16" s="26" t="str">
        <f ca="1">IFERROR(__xludf.DUMMYFUNCTION("""COMPUTED_VALUE"""),"")</f>
        <v/>
      </c>
      <c r="S16" s="26" t="str">
        <f ca="1">IFERROR(__xludf.DUMMYFUNCTION("""COMPUTED_VALUE"""),"")</f>
        <v/>
      </c>
      <c r="T16" s="24" t="str">
        <f ca="1">IFERROR(__xludf.DUMMYFUNCTION("""COMPUTED_VALUE"""),"OPEN")</f>
        <v>OPEN</v>
      </c>
      <c r="U16" s="24" t="str">
        <f ca="1">IFERROR(__xludf.DUMMYFUNCTION("""COMPUTED_VALUE"""),"F")</f>
        <v>F</v>
      </c>
      <c r="V16" s="24">
        <f ca="1">IFERROR(__xludf.DUMMYFUNCTION("""COMPUTED_VALUE"""),2017)</f>
        <v>2017</v>
      </c>
      <c r="W16" s="25" t="str">
        <f ca="1">IFERROR(__xludf.DUMMYFUNCTION("""COMPUTED_VALUE"""),"Aarya Sankul Flat No.1 Tambenagar, Midc Baramati-413133")</f>
        <v>Aarya Sankul Flat No.1 Tambenagar, Midc Baramati-413133</v>
      </c>
      <c r="X16" s="24">
        <f ca="1">IFERROR(__xludf.DUMMYFUNCTION("""COMPUTED_VALUE"""),9881124444)</f>
        <v>9881124444</v>
      </c>
      <c r="Y16" s="24">
        <f ca="1">IFERROR(__xludf.DUMMYFUNCTION("""COMPUTED_VALUE"""),7588946112)</f>
        <v>7588946112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5.75" customHeight="1">
      <c r="A17" s="22">
        <v>12</v>
      </c>
      <c r="B17" s="27">
        <f ca="1">IFERROR(__xludf.DUMMYFUNCTION("""COMPUTED_VALUE"""),950)</f>
        <v>950</v>
      </c>
      <c r="C17" s="24" t="str">
        <f ca="1">IFERROR(__xludf.DUMMYFUNCTION("""COMPUTED_VALUE"""),"COMP")</f>
        <v>COMP</v>
      </c>
      <c r="D17" s="24" t="str">
        <f ca="1">IFERROR(__xludf.DUMMYFUNCTION("""COMPUTED_VALUE"""),"SE")</f>
        <v>SE</v>
      </c>
      <c r="E17" s="24" t="str">
        <f ca="1">IFERROR(__xludf.DUMMYFUNCTION("""COMPUTED_VALUE"""),"")</f>
        <v/>
      </c>
      <c r="F17" s="24">
        <f ca="1">IFERROR(__xludf.DUMMYFUNCTION("""COMPUTED_VALUE"""),1821018)</f>
        <v>1821018</v>
      </c>
      <c r="G17" s="24" t="str">
        <f ca="1">IFERROR(__xludf.DUMMYFUNCTION("""COMPUTED_VALUE"""),"Ms.")</f>
        <v>Ms.</v>
      </c>
      <c r="H17" s="25" t="str">
        <f ca="1">IFERROR(__xludf.DUMMYFUNCTION("""COMPUTED_VALUE"""),"Godse Harshada Digambar")</f>
        <v>Godse Harshada Digambar</v>
      </c>
      <c r="I17" s="24" t="str">
        <f ca="1">IFERROR(__xludf.DUMMYFUNCTION("""COMPUTED_VALUE"""),"")</f>
        <v/>
      </c>
      <c r="J17" s="25" t="str">
        <f ca="1">IFERROR(__xludf.DUMMYFUNCTION("""COMPUTED_VALUE"""),"Godse")</f>
        <v>Godse</v>
      </c>
      <c r="K17" s="25" t="str">
        <f ca="1">IFERROR(__xludf.DUMMYFUNCTION("""COMPUTED_VALUE"""),"Harshada")</f>
        <v>Harshada</v>
      </c>
      <c r="L17" s="25" t="str">
        <f ca="1">IFERROR(__xludf.DUMMYFUNCTION("""COMPUTED_VALUE"""),"Digambar")</f>
        <v>Digambar</v>
      </c>
      <c r="M17" s="25" t="str">
        <f ca="1">IFERROR(__xludf.DUMMYFUNCTION("""COMPUTED_VALUE"""),"Godse Harshada Digambar")</f>
        <v>Godse Harshada Digambar</v>
      </c>
      <c r="N17" s="25" t="str">
        <f ca="1">IFERROR(__xludf.DUMMYFUNCTION("""COMPUTED_VALUE"""),"Godse Harshada D.")</f>
        <v>Godse Harshada D.</v>
      </c>
      <c r="O17" s="25" t="str">
        <f ca="1">IFERROR(__xludf.DUMMYFUNCTION("""COMPUTED_VALUE"""),"Godse H. D.")</f>
        <v>Godse H. D.</v>
      </c>
      <c r="P17" s="24" t="str">
        <f ca="1">IFERROR(__xludf.DUMMYFUNCTION("""COMPUTED_VALUE"""),"REG")</f>
        <v>REG</v>
      </c>
      <c r="Q17" s="26" t="str">
        <f ca="1">IFERROR(__xludf.DUMMYFUNCTION("""COMPUTED_VALUE"""),"")</f>
        <v/>
      </c>
      <c r="R17" s="26" t="str">
        <f ca="1">IFERROR(__xludf.DUMMYFUNCTION("""COMPUTED_VALUE"""),"")</f>
        <v/>
      </c>
      <c r="S17" s="26" t="str">
        <f ca="1">IFERROR(__xludf.DUMMYFUNCTION("""COMPUTED_VALUE"""),"")</f>
        <v/>
      </c>
      <c r="T17" s="24" t="str">
        <f ca="1">IFERROR(__xludf.DUMMYFUNCTION("""COMPUTED_VALUE"""),"OBC")</f>
        <v>OBC</v>
      </c>
      <c r="U17" s="24" t="str">
        <f ca="1">IFERROR(__xludf.DUMMYFUNCTION("""COMPUTED_VALUE"""),"F")</f>
        <v>F</v>
      </c>
      <c r="V17" s="24">
        <f ca="1">IFERROR(__xludf.DUMMYFUNCTION("""COMPUTED_VALUE"""),2017)</f>
        <v>2017</v>
      </c>
      <c r="W17" s="25" t="str">
        <f ca="1">IFERROR(__xludf.DUMMYFUNCTION("""COMPUTED_VALUE"""),"A.P. Takali Tal. Karmala Dist.Solapur-413203")</f>
        <v>A.P. Takali Tal. Karmala Dist.Solapur-413203</v>
      </c>
      <c r="X17" s="24">
        <f ca="1">IFERROR(__xludf.DUMMYFUNCTION("""COMPUTED_VALUE"""),9096873206)</f>
        <v>9096873206</v>
      </c>
      <c r="Y17" s="24">
        <f ca="1">IFERROR(__xludf.DUMMYFUNCTION("""COMPUTED_VALUE"""),7057562978)</f>
        <v>7057562978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5.75" customHeight="1">
      <c r="A18" s="22">
        <v>13</v>
      </c>
      <c r="B18" s="27">
        <f ca="1">IFERROR(__xludf.DUMMYFUNCTION("""COMPUTED_VALUE"""),951)</f>
        <v>951</v>
      </c>
      <c r="C18" s="24" t="str">
        <f ca="1">IFERROR(__xludf.DUMMYFUNCTION("""COMPUTED_VALUE"""),"COMP")</f>
        <v>COMP</v>
      </c>
      <c r="D18" s="24" t="str">
        <f ca="1">IFERROR(__xludf.DUMMYFUNCTION("""COMPUTED_VALUE"""),"SE")</f>
        <v>SE</v>
      </c>
      <c r="E18" s="24" t="str">
        <f ca="1">IFERROR(__xludf.DUMMYFUNCTION("""COMPUTED_VALUE"""),"")</f>
        <v/>
      </c>
      <c r="F18" s="24">
        <f ca="1">IFERROR(__xludf.DUMMYFUNCTION("""COMPUTED_VALUE"""),1821019)</f>
        <v>1821019</v>
      </c>
      <c r="G18" s="24" t="str">
        <f ca="1">IFERROR(__xludf.DUMMYFUNCTION("""COMPUTED_VALUE"""),"Mr.")</f>
        <v>Mr.</v>
      </c>
      <c r="H18" s="25" t="str">
        <f ca="1">IFERROR(__xludf.DUMMYFUNCTION("""COMPUTED_VALUE"""),"Goture Aniket Basavaraj")</f>
        <v>Goture Aniket Basavaraj</v>
      </c>
      <c r="I18" s="24" t="str">
        <f ca="1">IFERROR(__xludf.DUMMYFUNCTION("""COMPUTED_VALUE"""),"")</f>
        <v/>
      </c>
      <c r="J18" s="25" t="str">
        <f ca="1">IFERROR(__xludf.DUMMYFUNCTION("""COMPUTED_VALUE"""),"Goture")</f>
        <v>Goture</v>
      </c>
      <c r="K18" s="25" t="str">
        <f ca="1">IFERROR(__xludf.DUMMYFUNCTION("""COMPUTED_VALUE"""),"Aniket")</f>
        <v>Aniket</v>
      </c>
      <c r="L18" s="25" t="str">
        <f ca="1">IFERROR(__xludf.DUMMYFUNCTION("""COMPUTED_VALUE"""),"Basavaraj")</f>
        <v>Basavaraj</v>
      </c>
      <c r="M18" s="25" t="str">
        <f ca="1">IFERROR(__xludf.DUMMYFUNCTION("""COMPUTED_VALUE"""),"Goture Aniket Basavaraj")</f>
        <v>Goture Aniket Basavaraj</v>
      </c>
      <c r="N18" s="25" t="str">
        <f ca="1">IFERROR(__xludf.DUMMYFUNCTION("""COMPUTED_VALUE"""),"Goture Aniket B.")</f>
        <v>Goture Aniket B.</v>
      </c>
      <c r="O18" s="25" t="str">
        <f ca="1">IFERROR(__xludf.DUMMYFUNCTION("""COMPUTED_VALUE"""),"Goture A. B.")</f>
        <v>Goture A. B.</v>
      </c>
      <c r="P18" s="24" t="str">
        <f ca="1">IFERROR(__xludf.DUMMYFUNCTION("""COMPUTED_VALUE"""),"REG")</f>
        <v>REG</v>
      </c>
      <c r="Q18" s="26" t="str">
        <f ca="1">IFERROR(__xludf.DUMMYFUNCTION("""COMPUTED_VALUE"""),"")</f>
        <v/>
      </c>
      <c r="R18" s="26" t="str">
        <f ca="1">IFERROR(__xludf.DUMMYFUNCTION("""COMPUTED_VALUE"""),"")</f>
        <v/>
      </c>
      <c r="S18" s="26" t="str">
        <f ca="1">IFERROR(__xludf.DUMMYFUNCTION("""COMPUTED_VALUE"""),"")</f>
        <v/>
      </c>
      <c r="T18" s="24" t="str">
        <f ca="1">IFERROR(__xludf.DUMMYFUNCTION("""COMPUTED_VALUE"""),"OPEN")</f>
        <v>OPEN</v>
      </c>
      <c r="U18" s="24" t="str">
        <f ca="1">IFERROR(__xludf.DUMMYFUNCTION("""COMPUTED_VALUE"""),"M")</f>
        <v>M</v>
      </c>
      <c r="V18" s="24">
        <f ca="1">IFERROR(__xludf.DUMMYFUNCTION("""COMPUTED_VALUE"""),2017)</f>
        <v>2017</v>
      </c>
      <c r="W18" s="25" t="str">
        <f ca="1">IFERROR(__xludf.DUMMYFUNCTION("""COMPUTED_VALUE"""),"Ghar No.596, Bayajinagar Rui Midc, Baramati")</f>
        <v>Ghar No.596, Bayajinagar Rui Midc, Baramati</v>
      </c>
      <c r="X18" s="24">
        <f ca="1">IFERROR(__xludf.DUMMYFUNCTION("""COMPUTED_VALUE"""),9657851673)</f>
        <v>9657851673</v>
      </c>
      <c r="Y18" s="24">
        <f ca="1">IFERROR(__xludf.DUMMYFUNCTION("""COMPUTED_VALUE"""),9657360961)</f>
        <v>9657360961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5.75" customHeight="1">
      <c r="A19" s="22">
        <v>14</v>
      </c>
      <c r="B19" s="27">
        <f ca="1">IFERROR(__xludf.DUMMYFUNCTION("""COMPUTED_VALUE"""),952)</f>
        <v>952</v>
      </c>
      <c r="C19" s="24" t="str">
        <f ca="1">IFERROR(__xludf.DUMMYFUNCTION("""COMPUTED_VALUE"""),"COMP")</f>
        <v>COMP</v>
      </c>
      <c r="D19" s="24" t="str">
        <f ca="1">IFERROR(__xludf.DUMMYFUNCTION("""COMPUTED_VALUE"""),"SE")</f>
        <v>SE</v>
      </c>
      <c r="E19" s="24" t="str">
        <f ca="1">IFERROR(__xludf.DUMMYFUNCTION("""COMPUTED_VALUE"""),"")</f>
        <v/>
      </c>
      <c r="F19" s="24">
        <f ca="1">IFERROR(__xludf.DUMMYFUNCTION("""COMPUTED_VALUE"""),1821020)</f>
        <v>1821020</v>
      </c>
      <c r="G19" s="24" t="str">
        <f ca="1">IFERROR(__xludf.DUMMYFUNCTION("""COMPUTED_VALUE"""),"Ms.")</f>
        <v>Ms.</v>
      </c>
      <c r="H19" s="25" t="str">
        <f ca="1">IFERROR(__xludf.DUMMYFUNCTION("""COMPUTED_VALUE"""),"Hingane Aishwarya Vinod")</f>
        <v>Hingane Aishwarya Vinod</v>
      </c>
      <c r="I19" s="24" t="str">
        <f ca="1">IFERROR(__xludf.DUMMYFUNCTION("""COMPUTED_VALUE"""),"")</f>
        <v/>
      </c>
      <c r="J19" s="25" t="str">
        <f ca="1">IFERROR(__xludf.DUMMYFUNCTION("""COMPUTED_VALUE"""),"Hingane")</f>
        <v>Hingane</v>
      </c>
      <c r="K19" s="25" t="str">
        <f ca="1">IFERROR(__xludf.DUMMYFUNCTION("""COMPUTED_VALUE"""),"Aishwarya")</f>
        <v>Aishwarya</v>
      </c>
      <c r="L19" s="25" t="str">
        <f ca="1">IFERROR(__xludf.DUMMYFUNCTION("""COMPUTED_VALUE"""),"Vinod")</f>
        <v>Vinod</v>
      </c>
      <c r="M19" s="25" t="str">
        <f ca="1">IFERROR(__xludf.DUMMYFUNCTION("""COMPUTED_VALUE"""),"Hingane Aishwarya Vinod")</f>
        <v>Hingane Aishwarya Vinod</v>
      </c>
      <c r="N19" s="25" t="str">
        <f ca="1">IFERROR(__xludf.DUMMYFUNCTION("""COMPUTED_VALUE"""),"Hingane Aishwarya V.")</f>
        <v>Hingane Aishwarya V.</v>
      </c>
      <c r="O19" s="25" t="str">
        <f ca="1">IFERROR(__xludf.DUMMYFUNCTION("""COMPUTED_VALUE"""),"Hingane A. V.")</f>
        <v>Hingane A. V.</v>
      </c>
      <c r="P19" s="24" t="str">
        <f ca="1">IFERROR(__xludf.DUMMYFUNCTION("""COMPUTED_VALUE"""),"REG")</f>
        <v>REG</v>
      </c>
      <c r="Q19" s="26" t="str">
        <f ca="1">IFERROR(__xludf.DUMMYFUNCTION("""COMPUTED_VALUE"""),"")</f>
        <v/>
      </c>
      <c r="R19" s="26" t="str">
        <f ca="1">IFERROR(__xludf.DUMMYFUNCTION("""COMPUTED_VALUE"""),"")</f>
        <v/>
      </c>
      <c r="S19" s="26" t="str">
        <f ca="1">IFERROR(__xludf.DUMMYFUNCTION("""COMPUTED_VALUE"""),"")</f>
        <v/>
      </c>
      <c r="T19" s="24" t="str">
        <f ca="1">IFERROR(__xludf.DUMMYFUNCTION("""COMPUTED_VALUE"""),"OBC")</f>
        <v>OBC</v>
      </c>
      <c r="U19" s="24" t="str">
        <f ca="1">IFERROR(__xludf.DUMMYFUNCTION("""COMPUTED_VALUE"""),"F")</f>
        <v>F</v>
      </c>
      <c r="V19" s="24">
        <f ca="1">IFERROR(__xludf.DUMMYFUNCTION("""COMPUTED_VALUE"""),2017)</f>
        <v>2017</v>
      </c>
      <c r="W19" s="25" t="str">
        <f ca="1">IFERROR(__xludf.DUMMYFUNCTION("""COMPUTED_VALUE"""),"Shriramnagar, Shivkrupa Nivas, Bhigwan Road, Baramati-413102")</f>
        <v>Shriramnagar, Shivkrupa Nivas, Bhigwan Road, Baramati-413102</v>
      </c>
      <c r="X19" s="24">
        <f ca="1">IFERROR(__xludf.DUMMYFUNCTION("""COMPUTED_VALUE"""),9860621828)</f>
        <v>9860621828</v>
      </c>
      <c r="Y19" s="24">
        <f ca="1">IFERROR(__xludf.DUMMYFUNCTION("""COMPUTED_VALUE"""),7218001712)</f>
        <v>7218001712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5.75" customHeight="1">
      <c r="A20" s="22">
        <v>15</v>
      </c>
      <c r="B20" s="27">
        <f ca="1">IFERROR(__xludf.DUMMYFUNCTION("""COMPUTED_VALUE"""),953)</f>
        <v>953</v>
      </c>
      <c r="C20" s="24" t="str">
        <f ca="1">IFERROR(__xludf.DUMMYFUNCTION("""COMPUTED_VALUE"""),"COMP")</f>
        <v>COMP</v>
      </c>
      <c r="D20" s="24" t="str">
        <f ca="1">IFERROR(__xludf.DUMMYFUNCTION("""COMPUTED_VALUE"""),"SE")</f>
        <v>SE</v>
      </c>
      <c r="E20" s="24" t="str">
        <f ca="1">IFERROR(__xludf.DUMMYFUNCTION("""COMPUTED_VALUE"""),"")</f>
        <v/>
      </c>
      <c r="F20" s="24">
        <f ca="1">IFERROR(__xludf.DUMMYFUNCTION("""COMPUTED_VALUE"""),1821022)</f>
        <v>1821022</v>
      </c>
      <c r="G20" s="24" t="str">
        <f ca="1">IFERROR(__xludf.DUMMYFUNCTION("""COMPUTED_VALUE"""),"Ms.")</f>
        <v>Ms.</v>
      </c>
      <c r="H20" s="25" t="str">
        <f ca="1">IFERROR(__xludf.DUMMYFUNCTION("""COMPUTED_VALUE"""),"Jadhav Bharati Bhagwan")</f>
        <v>Jadhav Bharati Bhagwan</v>
      </c>
      <c r="I20" s="24" t="str">
        <f ca="1">IFERROR(__xludf.DUMMYFUNCTION("""COMPUTED_VALUE"""),"")</f>
        <v/>
      </c>
      <c r="J20" s="25" t="str">
        <f ca="1">IFERROR(__xludf.DUMMYFUNCTION("""COMPUTED_VALUE"""),"Jadhav")</f>
        <v>Jadhav</v>
      </c>
      <c r="K20" s="25" t="str">
        <f ca="1">IFERROR(__xludf.DUMMYFUNCTION("""COMPUTED_VALUE"""),"Bharati")</f>
        <v>Bharati</v>
      </c>
      <c r="L20" s="25" t="str">
        <f ca="1">IFERROR(__xludf.DUMMYFUNCTION("""COMPUTED_VALUE"""),"Bhagwan")</f>
        <v>Bhagwan</v>
      </c>
      <c r="M20" s="25" t="str">
        <f ca="1">IFERROR(__xludf.DUMMYFUNCTION("""COMPUTED_VALUE"""),"Jadhav Bharati Bhagwan")</f>
        <v>Jadhav Bharati Bhagwan</v>
      </c>
      <c r="N20" s="25" t="str">
        <f ca="1">IFERROR(__xludf.DUMMYFUNCTION("""COMPUTED_VALUE"""),"Jadhav Bharati B.")</f>
        <v>Jadhav Bharati B.</v>
      </c>
      <c r="O20" s="25" t="str">
        <f ca="1">IFERROR(__xludf.DUMMYFUNCTION("""COMPUTED_VALUE"""),"Jadhav B. B.")</f>
        <v>Jadhav B. B.</v>
      </c>
      <c r="P20" s="24" t="str">
        <f ca="1">IFERROR(__xludf.DUMMYFUNCTION("""COMPUTED_VALUE"""),"REG")</f>
        <v>REG</v>
      </c>
      <c r="Q20" s="26" t="str">
        <f ca="1">IFERROR(__xludf.DUMMYFUNCTION("""COMPUTED_VALUE"""),"")</f>
        <v/>
      </c>
      <c r="R20" s="26" t="str">
        <f ca="1">IFERROR(__xludf.DUMMYFUNCTION("""COMPUTED_VALUE"""),"")</f>
        <v/>
      </c>
      <c r="S20" s="26" t="str">
        <f ca="1">IFERROR(__xludf.DUMMYFUNCTION("""COMPUTED_VALUE"""),"")</f>
        <v/>
      </c>
      <c r="T20" s="24" t="str">
        <f ca="1">IFERROR(__xludf.DUMMYFUNCTION("""COMPUTED_VALUE"""),"OBC")</f>
        <v>OBC</v>
      </c>
      <c r="U20" s="24" t="str">
        <f ca="1">IFERROR(__xludf.DUMMYFUNCTION("""COMPUTED_VALUE"""),"F")</f>
        <v>F</v>
      </c>
      <c r="V20" s="24">
        <f ca="1">IFERROR(__xludf.DUMMYFUNCTION("""COMPUTED_VALUE"""),2017)</f>
        <v>2017</v>
      </c>
      <c r="W20" s="25" t="str">
        <f ca="1">IFERROR(__xludf.DUMMYFUNCTION("""COMPUTED_VALUE"""),"A.P. Matru Niwas, Khandobanagar, Baramati-413102")</f>
        <v>A.P. Matru Niwas, Khandobanagar, Baramati-413102</v>
      </c>
      <c r="X20" s="24">
        <f ca="1">IFERROR(__xludf.DUMMYFUNCTION("""COMPUTED_VALUE"""),7517385256)</f>
        <v>7517385256</v>
      </c>
      <c r="Y20" s="24">
        <f ca="1">IFERROR(__xludf.DUMMYFUNCTION("""COMPUTED_VALUE"""),7517385256)</f>
        <v>7517385256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5.75" customHeight="1">
      <c r="A21" s="22">
        <v>16</v>
      </c>
      <c r="B21" s="27">
        <f ca="1">IFERROR(__xludf.DUMMYFUNCTION("""COMPUTED_VALUE"""),954)</f>
        <v>954</v>
      </c>
      <c r="C21" s="24" t="str">
        <f ca="1">IFERROR(__xludf.DUMMYFUNCTION("""COMPUTED_VALUE"""),"COMP")</f>
        <v>COMP</v>
      </c>
      <c r="D21" s="24" t="str">
        <f ca="1">IFERROR(__xludf.DUMMYFUNCTION("""COMPUTED_VALUE"""),"SE")</f>
        <v>SE</v>
      </c>
      <c r="E21" s="24" t="str">
        <f ca="1">IFERROR(__xludf.DUMMYFUNCTION("""COMPUTED_VALUE"""),"")</f>
        <v/>
      </c>
      <c r="F21" s="24">
        <f ca="1">IFERROR(__xludf.DUMMYFUNCTION("""COMPUTED_VALUE"""),1821023)</f>
        <v>1821023</v>
      </c>
      <c r="G21" s="24" t="str">
        <f ca="1">IFERROR(__xludf.DUMMYFUNCTION("""COMPUTED_VALUE"""),"Ms.")</f>
        <v>Ms.</v>
      </c>
      <c r="H21" s="25" t="str">
        <f ca="1">IFERROR(__xludf.DUMMYFUNCTION("""COMPUTED_VALUE"""),"Jadhav Komal Ramchandra")</f>
        <v>Jadhav Komal Ramchandra</v>
      </c>
      <c r="I21" s="24" t="str">
        <f ca="1">IFERROR(__xludf.DUMMYFUNCTION("""COMPUTED_VALUE"""),"")</f>
        <v/>
      </c>
      <c r="J21" s="25" t="str">
        <f ca="1">IFERROR(__xludf.DUMMYFUNCTION("""COMPUTED_VALUE"""),"Jadhav")</f>
        <v>Jadhav</v>
      </c>
      <c r="K21" s="25" t="str">
        <f ca="1">IFERROR(__xludf.DUMMYFUNCTION("""COMPUTED_VALUE"""),"Komal")</f>
        <v>Komal</v>
      </c>
      <c r="L21" s="25" t="str">
        <f ca="1">IFERROR(__xludf.DUMMYFUNCTION("""COMPUTED_VALUE"""),"Ramchandra")</f>
        <v>Ramchandra</v>
      </c>
      <c r="M21" s="25" t="str">
        <f ca="1">IFERROR(__xludf.DUMMYFUNCTION("""COMPUTED_VALUE"""),"Jadhav Komal Ramchandra")</f>
        <v>Jadhav Komal Ramchandra</v>
      </c>
      <c r="N21" s="25" t="str">
        <f ca="1">IFERROR(__xludf.DUMMYFUNCTION("""COMPUTED_VALUE"""),"Jadhav Komal R.")</f>
        <v>Jadhav Komal R.</v>
      </c>
      <c r="O21" s="25" t="str">
        <f ca="1">IFERROR(__xludf.DUMMYFUNCTION("""COMPUTED_VALUE"""),"Jadhav K. R.")</f>
        <v>Jadhav K. R.</v>
      </c>
      <c r="P21" s="24" t="str">
        <f ca="1">IFERROR(__xludf.DUMMYFUNCTION("""COMPUTED_VALUE"""),"REG")</f>
        <v>REG</v>
      </c>
      <c r="Q21" s="26" t="str">
        <f ca="1">IFERROR(__xludf.DUMMYFUNCTION("""COMPUTED_VALUE"""),"")</f>
        <v/>
      </c>
      <c r="R21" s="26" t="str">
        <f ca="1">IFERROR(__xludf.DUMMYFUNCTION("""COMPUTED_VALUE"""),"")</f>
        <v/>
      </c>
      <c r="S21" s="26" t="str">
        <f ca="1">IFERROR(__xludf.DUMMYFUNCTION("""COMPUTED_VALUE"""),"")</f>
        <v/>
      </c>
      <c r="T21" s="24" t="str">
        <f ca="1">IFERROR(__xludf.DUMMYFUNCTION("""COMPUTED_VALUE"""),"OPEN")</f>
        <v>OPEN</v>
      </c>
      <c r="U21" s="24" t="str">
        <f ca="1">IFERROR(__xludf.DUMMYFUNCTION("""COMPUTED_VALUE"""),"F")</f>
        <v>F</v>
      </c>
      <c r="V21" s="24">
        <f ca="1">IFERROR(__xludf.DUMMYFUNCTION("""COMPUTED_VALUE"""),2017)</f>
        <v>2017</v>
      </c>
      <c r="W21" s="25" t="str">
        <f ca="1">IFERROR(__xludf.DUMMYFUNCTION("""COMPUTED_VALUE"""),"A.P. Pande Tal Wai, Dist Satara-415515")</f>
        <v>A.P. Pande Tal Wai, Dist Satara-415515</v>
      </c>
      <c r="X21" s="24">
        <f ca="1">IFERROR(__xludf.DUMMYFUNCTION("""COMPUTED_VALUE"""),9850524902)</f>
        <v>9850524902</v>
      </c>
      <c r="Y21" s="24">
        <f ca="1">IFERROR(__xludf.DUMMYFUNCTION("""COMPUTED_VALUE"""),9623486190)</f>
        <v>9623486190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5.75" customHeight="1">
      <c r="A22" s="22">
        <v>17</v>
      </c>
      <c r="B22" s="27">
        <f ca="1">IFERROR(__xludf.DUMMYFUNCTION("""COMPUTED_VALUE"""),955)</f>
        <v>955</v>
      </c>
      <c r="C22" s="24" t="str">
        <f ca="1">IFERROR(__xludf.DUMMYFUNCTION("""COMPUTED_VALUE"""),"COMP")</f>
        <v>COMP</v>
      </c>
      <c r="D22" s="24" t="str">
        <f ca="1">IFERROR(__xludf.DUMMYFUNCTION("""COMPUTED_VALUE"""),"SE")</f>
        <v>SE</v>
      </c>
      <c r="E22" s="24" t="str">
        <f ca="1">IFERROR(__xludf.DUMMYFUNCTION("""COMPUTED_VALUE"""),"")</f>
        <v/>
      </c>
      <c r="F22" s="24">
        <f ca="1">IFERROR(__xludf.DUMMYFUNCTION("""COMPUTED_VALUE"""),1821024)</f>
        <v>1821024</v>
      </c>
      <c r="G22" s="24" t="str">
        <f ca="1">IFERROR(__xludf.DUMMYFUNCTION("""COMPUTED_VALUE"""),"Mr.")</f>
        <v>Mr.</v>
      </c>
      <c r="H22" s="25" t="str">
        <f ca="1">IFERROR(__xludf.DUMMYFUNCTION("""COMPUTED_VALUE"""),"Jadhav Vishal Madhukar")</f>
        <v>Jadhav Vishal Madhukar</v>
      </c>
      <c r="I22" s="24" t="str">
        <f ca="1">IFERROR(__xludf.DUMMYFUNCTION("""COMPUTED_VALUE"""),"")</f>
        <v/>
      </c>
      <c r="J22" s="25" t="str">
        <f ca="1">IFERROR(__xludf.DUMMYFUNCTION("""COMPUTED_VALUE"""),"Jadhav")</f>
        <v>Jadhav</v>
      </c>
      <c r="K22" s="25" t="str">
        <f ca="1">IFERROR(__xludf.DUMMYFUNCTION("""COMPUTED_VALUE"""),"Vishal")</f>
        <v>Vishal</v>
      </c>
      <c r="L22" s="25" t="str">
        <f ca="1">IFERROR(__xludf.DUMMYFUNCTION("""COMPUTED_VALUE"""),"Madhukar")</f>
        <v>Madhukar</v>
      </c>
      <c r="M22" s="25" t="str">
        <f ca="1">IFERROR(__xludf.DUMMYFUNCTION("""COMPUTED_VALUE"""),"Jadhav Vishal Madhukar")</f>
        <v>Jadhav Vishal Madhukar</v>
      </c>
      <c r="N22" s="25" t="str">
        <f ca="1">IFERROR(__xludf.DUMMYFUNCTION("""COMPUTED_VALUE"""),"Jadhav Vishal M.")</f>
        <v>Jadhav Vishal M.</v>
      </c>
      <c r="O22" s="25" t="str">
        <f ca="1">IFERROR(__xludf.DUMMYFUNCTION("""COMPUTED_VALUE"""),"Jadhav V. M.")</f>
        <v>Jadhav V. M.</v>
      </c>
      <c r="P22" s="24" t="str">
        <f ca="1">IFERROR(__xludf.DUMMYFUNCTION("""COMPUTED_VALUE"""),"REG")</f>
        <v>REG</v>
      </c>
      <c r="Q22" s="26" t="str">
        <f ca="1">IFERROR(__xludf.DUMMYFUNCTION("""COMPUTED_VALUE"""),"")</f>
        <v/>
      </c>
      <c r="R22" s="26" t="str">
        <f ca="1">IFERROR(__xludf.DUMMYFUNCTION("""COMPUTED_VALUE"""),"")</f>
        <v/>
      </c>
      <c r="S22" s="26" t="str">
        <f ca="1">IFERROR(__xludf.DUMMYFUNCTION("""COMPUTED_VALUE"""),"")</f>
        <v/>
      </c>
      <c r="T22" s="24" t="str">
        <f ca="1">IFERROR(__xludf.DUMMYFUNCTION("""COMPUTED_VALUE"""),"OPEN")</f>
        <v>OPEN</v>
      </c>
      <c r="U22" s="24" t="str">
        <f ca="1">IFERROR(__xludf.DUMMYFUNCTION("""COMPUTED_VALUE"""),"M")</f>
        <v>M</v>
      </c>
      <c r="V22" s="24">
        <f ca="1">IFERROR(__xludf.DUMMYFUNCTION("""COMPUTED_VALUE"""),2016)</f>
        <v>2016</v>
      </c>
      <c r="W22" s="25" t="str">
        <f ca="1">IFERROR(__xludf.DUMMYFUNCTION("""COMPUTED_VALUE"""),"A.P. Tondachir Tal. Udgir Dist. Latur")</f>
        <v>A.P. Tondachir Tal. Udgir Dist. Latur</v>
      </c>
      <c r="X22" s="24">
        <f ca="1">IFERROR(__xludf.DUMMYFUNCTION("""COMPUTED_VALUE"""),9823892331)</f>
        <v>9823892331</v>
      </c>
      <c r="Y22" s="24">
        <f ca="1">IFERROR(__xludf.DUMMYFUNCTION("""COMPUTED_VALUE"""),8806394623)</f>
        <v>8806394623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5.75" customHeight="1">
      <c r="A23" s="22">
        <v>18</v>
      </c>
      <c r="B23" s="27">
        <f ca="1">IFERROR(__xludf.DUMMYFUNCTION("""COMPUTED_VALUE"""),956)</f>
        <v>956</v>
      </c>
      <c r="C23" s="24" t="str">
        <f ca="1">IFERROR(__xludf.DUMMYFUNCTION("""COMPUTED_VALUE"""),"COMP")</f>
        <v>COMP</v>
      </c>
      <c r="D23" s="24" t="str">
        <f ca="1">IFERROR(__xludf.DUMMYFUNCTION("""COMPUTED_VALUE"""),"SE")</f>
        <v>SE</v>
      </c>
      <c r="E23" s="24" t="str">
        <f ca="1">IFERROR(__xludf.DUMMYFUNCTION("""COMPUTED_VALUE"""),"")</f>
        <v/>
      </c>
      <c r="F23" s="24">
        <f ca="1">IFERROR(__xludf.DUMMYFUNCTION("""COMPUTED_VALUE"""),1821025)</f>
        <v>1821025</v>
      </c>
      <c r="G23" s="24" t="str">
        <f ca="1">IFERROR(__xludf.DUMMYFUNCTION("""COMPUTED_VALUE"""),"Mr.")</f>
        <v>Mr.</v>
      </c>
      <c r="H23" s="25" t="str">
        <f ca="1">IFERROR(__xludf.DUMMYFUNCTION("""COMPUTED_VALUE"""),"Jagdale Swapnil Vitthal")</f>
        <v>Jagdale Swapnil Vitthal</v>
      </c>
      <c r="I23" s="24" t="str">
        <f ca="1">IFERROR(__xludf.DUMMYFUNCTION("""COMPUTED_VALUE"""),"")</f>
        <v/>
      </c>
      <c r="J23" s="25" t="str">
        <f ca="1">IFERROR(__xludf.DUMMYFUNCTION("""COMPUTED_VALUE"""),"Jagdale")</f>
        <v>Jagdale</v>
      </c>
      <c r="K23" s="25" t="str">
        <f ca="1">IFERROR(__xludf.DUMMYFUNCTION("""COMPUTED_VALUE"""),"Swapnil")</f>
        <v>Swapnil</v>
      </c>
      <c r="L23" s="25" t="str">
        <f ca="1">IFERROR(__xludf.DUMMYFUNCTION("""COMPUTED_VALUE"""),"Vitthal")</f>
        <v>Vitthal</v>
      </c>
      <c r="M23" s="25" t="str">
        <f ca="1">IFERROR(__xludf.DUMMYFUNCTION("""COMPUTED_VALUE"""),"Jagdale Swapnil Vitthal")</f>
        <v>Jagdale Swapnil Vitthal</v>
      </c>
      <c r="N23" s="25" t="str">
        <f ca="1">IFERROR(__xludf.DUMMYFUNCTION("""COMPUTED_VALUE"""),"Jagdale Swapnil V.")</f>
        <v>Jagdale Swapnil V.</v>
      </c>
      <c r="O23" s="25" t="str">
        <f ca="1">IFERROR(__xludf.DUMMYFUNCTION("""COMPUTED_VALUE"""),"Jagdale S. V.")</f>
        <v>Jagdale S. V.</v>
      </c>
      <c r="P23" s="24" t="str">
        <f ca="1">IFERROR(__xludf.DUMMYFUNCTION("""COMPUTED_VALUE"""),"REG")</f>
        <v>REG</v>
      </c>
      <c r="Q23" s="26" t="str">
        <f ca="1">IFERROR(__xludf.DUMMYFUNCTION("""COMPUTED_VALUE"""),"")</f>
        <v/>
      </c>
      <c r="R23" s="26" t="str">
        <f ca="1">IFERROR(__xludf.DUMMYFUNCTION("""COMPUTED_VALUE"""),"")</f>
        <v/>
      </c>
      <c r="S23" s="26" t="str">
        <f ca="1">IFERROR(__xludf.DUMMYFUNCTION("""COMPUTED_VALUE"""),"")</f>
        <v/>
      </c>
      <c r="T23" s="24" t="str">
        <f ca="1">IFERROR(__xludf.DUMMYFUNCTION("""COMPUTED_VALUE"""),"OPEN")</f>
        <v>OPEN</v>
      </c>
      <c r="U23" s="24" t="str">
        <f ca="1">IFERROR(__xludf.DUMMYFUNCTION("""COMPUTED_VALUE"""),"M")</f>
        <v>M</v>
      </c>
      <c r="V23" s="24">
        <f ca="1">IFERROR(__xludf.DUMMYFUNCTION("""COMPUTED_VALUE"""),2017)</f>
        <v>2017</v>
      </c>
      <c r="W23" s="25" t="str">
        <f ca="1">IFERROR(__xludf.DUMMYFUNCTION("""COMPUTED_VALUE"""),"A.P. Walchandnagar Tal. Indapur Dist Pune413114")</f>
        <v>A.P. Walchandnagar Tal. Indapur Dist Pune413114</v>
      </c>
      <c r="X23" s="24">
        <f ca="1">IFERROR(__xludf.DUMMYFUNCTION("""COMPUTED_VALUE"""),9975038535)</f>
        <v>9975038535</v>
      </c>
      <c r="Y23" s="24">
        <f ca="1">IFERROR(__xludf.DUMMYFUNCTION("""COMPUTED_VALUE"""),9834872721)</f>
        <v>9834872721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5.75" customHeight="1">
      <c r="A24" s="22">
        <v>19</v>
      </c>
      <c r="B24" s="27">
        <f ca="1">IFERROR(__xludf.DUMMYFUNCTION("""COMPUTED_VALUE"""),957)</f>
        <v>957</v>
      </c>
      <c r="C24" s="24" t="str">
        <f ca="1">IFERROR(__xludf.DUMMYFUNCTION("""COMPUTED_VALUE"""),"COMP")</f>
        <v>COMP</v>
      </c>
      <c r="D24" s="24" t="str">
        <f ca="1">IFERROR(__xludf.DUMMYFUNCTION("""COMPUTED_VALUE"""),"SE")</f>
        <v>SE</v>
      </c>
      <c r="E24" s="24" t="str">
        <f ca="1">IFERROR(__xludf.DUMMYFUNCTION("""COMPUTED_VALUE"""),"")</f>
        <v/>
      </c>
      <c r="F24" s="24">
        <f ca="1">IFERROR(__xludf.DUMMYFUNCTION("""COMPUTED_VALUE"""),1821026)</f>
        <v>1821026</v>
      </c>
      <c r="G24" s="24" t="str">
        <f ca="1">IFERROR(__xludf.DUMMYFUNCTION("""COMPUTED_VALUE"""),"Ms.")</f>
        <v>Ms.</v>
      </c>
      <c r="H24" s="25" t="str">
        <f ca="1">IFERROR(__xludf.DUMMYFUNCTION("""COMPUTED_VALUE"""),"Jagtap Ankita Anil")</f>
        <v>Jagtap Ankita Anil</v>
      </c>
      <c r="I24" s="24" t="str">
        <f ca="1">IFERROR(__xludf.DUMMYFUNCTION("""COMPUTED_VALUE"""),"")</f>
        <v/>
      </c>
      <c r="J24" s="25" t="str">
        <f ca="1">IFERROR(__xludf.DUMMYFUNCTION("""COMPUTED_VALUE"""),"Jagtap")</f>
        <v>Jagtap</v>
      </c>
      <c r="K24" s="25" t="str">
        <f ca="1">IFERROR(__xludf.DUMMYFUNCTION("""COMPUTED_VALUE"""),"Ankita")</f>
        <v>Ankita</v>
      </c>
      <c r="L24" s="25" t="str">
        <f ca="1">IFERROR(__xludf.DUMMYFUNCTION("""COMPUTED_VALUE"""),"Anil")</f>
        <v>Anil</v>
      </c>
      <c r="M24" s="25" t="str">
        <f ca="1">IFERROR(__xludf.DUMMYFUNCTION("""COMPUTED_VALUE"""),"Jagtap Ankita Anil")</f>
        <v>Jagtap Ankita Anil</v>
      </c>
      <c r="N24" s="25" t="str">
        <f ca="1">IFERROR(__xludf.DUMMYFUNCTION("""COMPUTED_VALUE"""),"Jagtap Ankita A.")</f>
        <v>Jagtap Ankita A.</v>
      </c>
      <c r="O24" s="25" t="str">
        <f ca="1">IFERROR(__xludf.DUMMYFUNCTION("""COMPUTED_VALUE"""),"Jagtap A. A.")</f>
        <v>Jagtap A. A.</v>
      </c>
      <c r="P24" s="24" t="str">
        <f ca="1">IFERROR(__xludf.DUMMYFUNCTION("""COMPUTED_VALUE"""),"REG")</f>
        <v>REG</v>
      </c>
      <c r="Q24" s="26" t="str">
        <f ca="1">IFERROR(__xludf.DUMMYFUNCTION("""COMPUTED_VALUE"""),"")</f>
        <v/>
      </c>
      <c r="R24" s="26" t="str">
        <f ca="1">IFERROR(__xludf.DUMMYFUNCTION("""COMPUTED_VALUE"""),"")</f>
        <v/>
      </c>
      <c r="S24" s="26" t="str">
        <f ca="1">IFERROR(__xludf.DUMMYFUNCTION("""COMPUTED_VALUE"""),"")</f>
        <v/>
      </c>
      <c r="T24" s="24" t="str">
        <f ca="1">IFERROR(__xludf.DUMMYFUNCTION("""COMPUTED_VALUE"""),"OPEN")</f>
        <v>OPEN</v>
      </c>
      <c r="U24" s="24" t="str">
        <f ca="1">IFERROR(__xludf.DUMMYFUNCTION("""COMPUTED_VALUE"""),"F")</f>
        <v>F</v>
      </c>
      <c r="V24" s="24">
        <f ca="1">IFERROR(__xludf.DUMMYFUNCTION("""COMPUTED_VALUE"""),2017)</f>
        <v>2017</v>
      </c>
      <c r="W24" s="25" t="str">
        <f ca="1">IFERROR(__xludf.DUMMYFUNCTION("""COMPUTED_VALUE"""),"A.P. Jalgaon Supe Tal. Baramati Dist.Pune-413102")</f>
        <v>A.P. Jalgaon Supe Tal. Baramati Dist.Pune-413102</v>
      </c>
      <c r="X24" s="24">
        <f ca="1">IFERROR(__xludf.DUMMYFUNCTION("""COMPUTED_VALUE"""),9881773344)</f>
        <v>9881773344</v>
      </c>
      <c r="Y24" s="24">
        <f ca="1">IFERROR(__xludf.DUMMYFUNCTION("""COMPUTED_VALUE"""),9881253344)</f>
        <v>9881253344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5.75" customHeight="1">
      <c r="A25" s="22">
        <v>20</v>
      </c>
      <c r="B25" s="27">
        <f ca="1">IFERROR(__xludf.DUMMYFUNCTION("""COMPUTED_VALUE"""),958)</f>
        <v>958</v>
      </c>
      <c r="C25" s="24" t="str">
        <f ca="1">IFERROR(__xludf.DUMMYFUNCTION("""COMPUTED_VALUE"""),"COMP")</f>
        <v>COMP</v>
      </c>
      <c r="D25" s="24" t="str">
        <f ca="1">IFERROR(__xludf.DUMMYFUNCTION("""COMPUTED_VALUE"""),"SE")</f>
        <v>SE</v>
      </c>
      <c r="E25" s="24" t="str">
        <f ca="1">IFERROR(__xludf.DUMMYFUNCTION("""COMPUTED_VALUE"""),"")</f>
        <v/>
      </c>
      <c r="F25" s="24">
        <f ca="1">IFERROR(__xludf.DUMMYFUNCTION("""COMPUTED_VALUE"""),1821030)</f>
        <v>1821030</v>
      </c>
      <c r="G25" s="24" t="str">
        <f ca="1">IFERROR(__xludf.DUMMYFUNCTION("""COMPUTED_VALUE"""),"Mr.")</f>
        <v>Mr.</v>
      </c>
      <c r="H25" s="25" t="str">
        <f ca="1">IFERROR(__xludf.DUMMYFUNCTION("""COMPUTED_VALUE"""),"Kadam Vikrant Rajendra")</f>
        <v>Kadam Vikrant Rajendra</v>
      </c>
      <c r="I25" s="24" t="str">
        <f ca="1">IFERROR(__xludf.DUMMYFUNCTION("""COMPUTED_VALUE"""),"")</f>
        <v/>
      </c>
      <c r="J25" s="25" t="str">
        <f ca="1">IFERROR(__xludf.DUMMYFUNCTION("""COMPUTED_VALUE"""),"Kadam")</f>
        <v>Kadam</v>
      </c>
      <c r="K25" s="25" t="str">
        <f ca="1">IFERROR(__xludf.DUMMYFUNCTION("""COMPUTED_VALUE"""),"Vikrant")</f>
        <v>Vikrant</v>
      </c>
      <c r="L25" s="25" t="str">
        <f ca="1">IFERROR(__xludf.DUMMYFUNCTION("""COMPUTED_VALUE"""),"Rajendra")</f>
        <v>Rajendra</v>
      </c>
      <c r="M25" s="25" t="str">
        <f ca="1">IFERROR(__xludf.DUMMYFUNCTION("""COMPUTED_VALUE"""),"Kadam Vikrant Rajendra")</f>
        <v>Kadam Vikrant Rajendra</v>
      </c>
      <c r="N25" s="25" t="str">
        <f ca="1">IFERROR(__xludf.DUMMYFUNCTION("""COMPUTED_VALUE"""),"Kadam Vikrant R.")</f>
        <v>Kadam Vikrant R.</v>
      </c>
      <c r="O25" s="25" t="str">
        <f ca="1">IFERROR(__xludf.DUMMYFUNCTION("""COMPUTED_VALUE"""),"Kadam V. R.")</f>
        <v>Kadam V. R.</v>
      </c>
      <c r="P25" s="24" t="str">
        <f ca="1">IFERROR(__xludf.DUMMYFUNCTION("""COMPUTED_VALUE"""),"REG")</f>
        <v>REG</v>
      </c>
      <c r="Q25" s="26" t="str">
        <f ca="1">IFERROR(__xludf.DUMMYFUNCTION("""COMPUTED_VALUE"""),"")</f>
        <v/>
      </c>
      <c r="R25" s="26" t="str">
        <f ca="1">IFERROR(__xludf.DUMMYFUNCTION("""COMPUTED_VALUE"""),"")</f>
        <v/>
      </c>
      <c r="S25" s="26" t="str">
        <f ca="1">IFERROR(__xludf.DUMMYFUNCTION("""COMPUTED_VALUE"""),"")</f>
        <v/>
      </c>
      <c r="T25" s="24" t="str">
        <f ca="1">IFERROR(__xludf.DUMMYFUNCTION("""COMPUTED_VALUE"""),"OPEN")</f>
        <v>OPEN</v>
      </c>
      <c r="U25" s="24" t="str">
        <f ca="1">IFERROR(__xludf.DUMMYFUNCTION("""COMPUTED_VALUE"""),"M")</f>
        <v>M</v>
      </c>
      <c r="V25" s="24">
        <f ca="1">IFERROR(__xludf.DUMMYFUNCTION("""COMPUTED_VALUE"""),2017)</f>
        <v>2017</v>
      </c>
      <c r="W25" s="25" t="str">
        <f ca="1">IFERROR(__xludf.DUMMYFUNCTION("""COMPUTED_VALUE"""),"Patnagshahnagar, Patas Road, Baramati-413102")</f>
        <v>Patnagshahnagar, Patas Road, Baramati-413102</v>
      </c>
      <c r="X25" s="24">
        <f ca="1">IFERROR(__xludf.DUMMYFUNCTION("""COMPUTED_VALUE"""),9665468212)</f>
        <v>9665468212</v>
      </c>
      <c r="Y25" s="24">
        <f ca="1">IFERROR(__xludf.DUMMYFUNCTION("""COMPUTED_VALUE"""),9665468212)</f>
        <v>9665468212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5.75" customHeight="1">
      <c r="A26" s="22">
        <v>21</v>
      </c>
      <c r="B26" s="27">
        <f ca="1">IFERROR(__xludf.DUMMYFUNCTION("""COMPUTED_VALUE"""),959)</f>
        <v>959</v>
      </c>
      <c r="C26" s="24" t="str">
        <f ca="1">IFERROR(__xludf.DUMMYFUNCTION("""COMPUTED_VALUE"""),"COMP")</f>
        <v>COMP</v>
      </c>
      <c r="D26" s="24" t="str">
        <f ca="1">IFERROR(__xludf.DUMMYFUNCTION("""COMPUTED_VALUE"""),"SE")</f>
        <v>SE</v>
      </c>
      <c r="E26" s="24" t="str">
        <f ca="1">IFERROR(__xludf.DUMMYFUNCTION("""COMPUTED_VALUE"""),"")</f>
        <v/>
      </c>
      <c r="F26" s="24">
        <f ca="1">IFERROR(__xludf.DUMMYFUNCTION("""COMPUTED_VALUE"""),1821033)</f>
        <v>1821033</v>
      </c>
      <c r="G26" s="24" t="str">
        <f ca="1">IFERROR(__xludf.DUMMYFUNCTION("""COMPUTED_VALUE"""),"Mr.")</f>
        <v>Mr.</v>
      </c>
      <c r="H26" s="25" t="str">
        <f ca="1">IFERROR(__xludf.DUMMYFUNCTION("""COMPUTED_VALUE"""),"Kedar Hruturaj Sanjay")</f>
        <v>Kedar Hruturaj Sanjay</v>
      </c>
      <c r="I26" s="24" t="str">
        <f ca="1">IFERROR(__xludf.DUMMYFUNCTION("""COMPUTED_VALUE"""),"")</f>
        <v/>
      </c>
      <c r="J26" s="25" t="str">
        <f ca="1">IFERROR(__xludf.DUMMYFUNCTION("""COMPUTED_VALUE"""),"Kedar")</f>
        <v>Kedar</v>
      </c>
      <c r="K26" s="25" t="str">
        <f ca="1">IFERROR(__xludf.DUMMYFUNCTION("""COMPUTED_VALUE"""),"Hruturaj")</f>
        <v>Hruturaj</v>
      </c>
      <c r="L26" s="25" t="str">
        <f ca="1">IFERROR(__xludf.DUMMYFUNCTION("""COMPUTED_VALUE"""),"Sanjay")</f>
        <v>Sanjay</v>
      </c>
      <c r="M26" s="25" t="str">
        <f ca="1">IFERROR(__xludf.DUMMYFUNCTION("""COMPUTED_VALUE"""),"Kedar Hruturaj Sanjay")</f>
        <v>Kedar Hruturaj Sanjay</v>
      </c>
      <c r="N26" s="25" t="str">
        <f ca="1">IFERROR(__xludf.DUMMYFUNCTION("""COMPUTED_VALUE"""),"Kedar Hruturaj S.")</f>
        <v>Kedar Hruturaj S.</v>
      </c>
      <c r="O26" s="25" t="str">
        <f ca="1">IFERROR(__xludf.DUMMYFUNCTION("""COMPUTED_VALUE"""),"Kedar H. S.")</f>
        <v>Kedar H. S.</v>
      </c>
      <c r="P26" s="24" t="str">
        <f ca="1">IFERROR(__xludf.DUMMYFUNCTION("""COMPUTED_VALUE"""),"REG")</f>
        <v>REG</v>
      </c>
      <c r="Q26" s="26" t="str">
        <f ca="1">IFERROR(__xludf.DUMMYFUNCTION("""COMPUTED_VALUE"""),"")</f>
        <v/>
      </c>
      <c r="R26" s="26" t="str">
        <f ca="1">IFERROR(__xludf.DUMMYFUNCTION("""COMPUTED_VALUE"""),"")</f>
        <v/>
      </c>
      <c r="S26" s="26" t="str">
        <f ca="1">IFERROR(__xludf.DUMMYFUNCTION("""COMPUTED_VALUE"""),"")</f>
        <v/>
      </c>
      <c r="T26" s="24" t="str">
        <f ca="1">IFERROR(__xludf.DUMMYFUNCTION("""COMPUTED_VALUE"""),"OBC")</f>
        <v>OBC</v>
      </c>
      <c r="U26" s="24" t="str">
        <f ca="1">IFERROR(__xludf.DUMMYFUNCTION("""COMPUTED_VALUE"""),"M")</f>
        <v>M</v>
      </c>
      <c r="V26" s="24">
        <f ca="1">IFERROR(__xludf.DUMMYFUNCTION("""COMPUTED_VALUE"""),2017)</f>
        <v>2017</v>
      </c>
      <c r="W26" s="25" t="str">
        <f ca="1">IFERROR(__xludf.DUMMYFUNCTION("""COMPUTED_VALUE"""),"6, Amol Appt, Near T.C. College Vivekanand Nagar Baramati-413102")</f>
        <v>6, Amol Appt, Near T.C. College Vivekanand Nagar Baramati-413102</v>
      </c>
      <c r="X26" s="24">
        <f ca="1">IFERROR(__xludf.DUMMYFUNCTION("""COMPUTED_VALUE"""),9881937347)</f>
        <v>9881937347</v>
      </c>
      <c r="Y26" s="24">
        <f ca="1">IFERROR(__xludf.DUMMYFUNCTION("""COMPUTED_VALUE"""),9881937347)</f>
        <v>9881937347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ht="15.75" customHeight="1">
      <c r="A27" s="22">
        <v>22</v>
      </c>
      <c r="B27" s="27">
        <f ca="1">IFERROR(__xludf.DUMMYFUNCTION("""COMPUTED_VALUE"""),960)</f>
        <v>960</v>
      </c>
      <c r="C27" s="24" t="str">
        <f ca="1">IFERROR(__xludf.DUMMYFUNCTION("""COMPUTED_VALUE"""),"COMP")</f>
        <v>COMP</v>
      </c>
      <c r="D27" s="24" t="str">
        <f ca="1">IFERROR(__xludf.DUMMYFUNCTION("""COMPUTED_VALUE"""),"SE")</f>
        <v>SE</v>
      </c>
      <c r="E27" s="24" t="str">
        <f ca="1">IFERROR(__xludf.DUMMYFUNCTION("""COMPUTED_VALUE"""),"")</f>
        <v/>
      </c>
      <c r="F27" s="24">
        <f ca="1">IFERROR(__xludf.DUMMYFUNCTION("""COMPUTED_VALUE"""),1821034)</f>
        <v>1821034</v>
      </c>
      <c r="G27" s="24" t="str">
        <f ca="1">IFERROR(__xludf.DUMMYFUNCTION("""COMPUTED_VALUE"""),"Ms.")</f>
        <v>Ms.</v>
      </c>
      <c r="H27" s="25" t="str">
        <f ca="1">IFERROR(__xludf.DUMMYFUNCTION("""COMPUTED_VALUE"""),"Khaire Bhakti Ravindra")</f>
        <v>Khaire Bhakti Ravindra</v>
      </c>
      <c r="I27" s="24" t="str">
        <f ca="1">IFERROR(__xludf.DUMMYFUNCTION("""COMPUTED_VALUE"""),"")</f>
        <v/>
      </c>
      <c r="J27" s="25" t="str">
        <f ca="1">IFERROR(__xludf.DUMMYFUNCTION("""COMPUTED_VALUE"""),"Khaire")</f>
        <v>Khaire</v>
      </c>
      <c r="K27" s="25" t="str">
        <f ca="1">IFERROR(__xludf.DUMMYFUNCTION("""COMPUTED_VALUE"""),"Bhakti")</f>
        <v>Bhakti</v>
      </c>
      <c r="L27" s="25" t="str">
        <f ca="1">IFERROR(__xludf.DUMMYFUNCTION("""COMPUTED_VALUE"""),"Ravindra")</f>
        <v>Ravindra</v>
      </c>
      <c r="M27" s="25" t="str">
        <f ca="1">IFERROR(__xludf.DUMMYFUNCTION("""COMPUTED_VALUE"""),"Khaire Bhakti Ravindra")</f>
        <v>Khaire Bhakti Ravindra</v>
      </c>
      <c r="N27" s="25" t="str">
        <f ca="1">IFERROR(__xludf.DUMMYFUNCTION("""COMPUTED_VALUE"""),"Khaire Bhakti R.")</f>
        <v>Khaire Bhakti R.</v>
      </c>
      <c r="O27" s="25" t="str">
        <f ca="1">IFERROR(__xludf.DUMMYFUNCTION("""COMPUTED_VALUE"""),"Khaire B. R.")</f>
        <v>Khaire B. R.</v>
      </c>
      <c r="P27" s="24" t="str">
        <f ca="1">IFERROR(__xludf.DUMMYFUNCTION("""COMPUTED_VALUE"""),"REG")</f>
        <v>REG</v>
      </c>
      <c r="Q27" s="26" t="str">
        <f ca="1">IFERROR(__xludf.DUMMYFUNCTION("""COMPUTED_VALUE"""),"")</f>
        <v/>
      </c>
      <c r="R27" s="26" t="str">
        <f ca="1">IFERROR(__xludf.DUMMYFUNCTION("""COMPUTED_VALUE"""),"")</f>
        <v/>
      </c>
      <c r="S27" s="26" t="str">
        <f ca="1">IFERROR(__xludf.DUMMYFUNCTION("""COMPUTED_VALUE"""),"")</f>
        <v/>
      </c>
      <c r="T27" s="24" t="str">
        <f ca="1">IFERROR(__xludf.DUMMYFUNCTION("""COMPUTED_VALUE"""),"OPEN")</f>
        <v>OPEN</v>
      </c>
      <c r="U27" s="24" t="str">
        <f ca="1">IFERROR(__xludf.DUMMYFUNCTION("""COMPUTED_VALUE"""),"F")</f>
        <v>F</v>
      </c>
      <c r="V27" s="24">
        <f ca="1">IFERROR(__xludf.DUMMYFUNCTION("""COMPUTED_VALUE"""),2017)</f>
        <v>2017</v>
      </c>
      <c r="W27" s="25" t="str">
        <f ca="1">IFERROR(__xludf.DUMMYFUNCTION("""COMPUTED_VALUE"""),"Irrigation Colony, A-12, Patas Road Baramati-413102")</f>
        <v>Irrigation Colony, A-12, Patas Road Baramati-413102</v>
      </c>
      <c r="X27" s="24">
        <f ca="1">IFERROR(__xludf.DUMMYFUNCTION("""COMPUTED_VALUE"""),7588032382)</f>
        <v>7588032382</v>
      </c>
      <c r="Y27" s="24">
        <f ca="1">IFERROR(__xludf.DUMMYFUNCTION("""COMPUTED_VALUE"""),7588032379)</f>
        <v>7588032379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ht="15.75" customHeight="1">
      <c r="A28" s="22">
        <v>23</v>
      </c>
      <c r="B28" s="27">
        <f ca="1">IFERROR(__xludf.DUMMYFUNCTION("""COMPUTED_VALUE"""),961)</f>
        <v>961</v>
      </c>
      <c r="C28" s="24" t="str">
        <f ca="1">IFERROR(__xludf.DUMMYFUNCTION("""COMPUTED_VALUE"""),"COMP")</f>
        <v>COMP</v>
      </c>
      <c r="D28" s="24" t="str">
        <f ca="1">IFERROR(__xludf.DUMMYFUNCTION("""COMPUTED_VALUE"""),"SE")</f>
        <v>SE</v>
      </c>
      <c r="E28" s="24" t="str">
        <f ca="1">IFERROR(__xludf.DUMMYFUNCTION("""COMPUTED_VALUE"""),"")</f>
        <v/>
      </c>
      <c r="F28" s="24">
        <f ca="1">IFERROR(__xludf.DUMMYFUNCTION("""COMPUTED_VALUE"""),1821037)</f>
        <v>1821037</v>
      </c>
      <c r="G28" s="24" t="str">
        <f ca="1">IFERROR(__xludf.DUMMYFUNCTION("""COMPUTED_VALUE"""),"Mr.")</f>
        <v>Mr.</v>
      </c>
      <c r="H28" s="25" t="str">
        <f ca="1">IFERROR(__xludf.DUMMYFUNCTION("""COMPUTED_VALUE"""),"Khot Omkar Nitin")</f>
        <v>Khot Omkar Nitin</v>
      </c>
      <c r="I28" s="24" t="str">
        <f ca="1">IFERROR(__xludf.DUMMYFUNCTION("""COMPUTED_VALUE"""),"")</f>
        <v/>
      </c>
      <c r="J28" s="25" t="str">
        <f ca="1">IFERROR(__xludf.DUMMYFUNCTION("""COMPUTED_VALUE"""),"Khot")</f>
        <v>Khot</v>
      </c>
      <c r="K28" s="25" t="str">
        <f ca="1">IFERROR(__xludf.DUMMYFUNCTION("""COMPUTED_VALUE"""),"Omkar")</f>
        <v>Omkar</v>
      </c>
      <c r="L28" s="25" t="str">
        <f ca="1">IFERROR(__xludf.DUMMYFUNCTION("""COMPUTED_VALUE"""),"Nitin")</f>
        <v>Nitin</v>
      </c>
      <c r="M28" s="25" t="str">
        <f ca="1">IFERROR(__xludf.DUMMYFUNCTION("""COMPUTED_VALUE"""),"Khot Omkar Nitin")</f>
        <v>Khot Omkar Nitin</v>
      </c>
      <c r="N28" s="25" t="str">
        <f ca="1">IFERROR(__xludf.DUMMYFUNCTION("""COMPUTED_VALUE"""),"Khot Omkar N.")</f>
        <v>Khot Omkar N.</v>
      </c>
      <c r="O28" s="25" t="str">
        <f ca="1">IFERROR(__xludf.DUMMYFUNCTION("""COMPUTED_VALUE"""),"Khot O. N.")</f>
        <v>Khot O. N.</v>
      </c>
      <c r="P28" s="24" t="str">
        <f ca="1">IFERROR(__xludf.DUMMYFUNCTION("""COMPUTED_VALUE"""),"REG")</f>
        <v>REG</v>
      </c>
      <c r="Q28" s="26" t="str">
        <f ca="1">IFERROR(__xludf.DUMMYFUNCTION("""COMPUTED_VALUE"""),"")</f>
        <v/>
      </c>
      <c r="R28" s="26" t="str">
        <f ca="1">IFERROR(__xludf.DUMMYFUNCTION("""COMPUTED_VALUE"""),"")</f>
        <v/>
      </c>
      <c r="S28" s="26" t="str">
        <f ca="1">IFERROR(__xludf.DUMMYFUNCTION("""COMPUTED_VALUE"""),"")</f>
        <v/>
      </c>
      <c r="T28" s="24" t="str">
        <f ca="1">IFERROR(__xludf.DUMMYFUNCTION("""COMPUTED_VALUE"""),"OBC")</f>
        <v>OBC</v>
      </c>
      <c r="U28" s="24" t="str">
        <f ca="1">IFERROR(__xludf.DUMMYFUNCTION("""COMPUTED_VALUE"""),"M")</f>
        <v>M</v>
      </c>
      <c r="V28" s="24">
        <f ca="1">IFERROR(__xludf.DUMMYFUNCTION("""COMPUTED_VALUE"""),2017)</f>
        <v>2017</v>
      </c>
      <c r="W28" s="25" t="str">
        <f ca="1">IFERROR(__xludf.DUMMYFUNCTION("""COMPUTED_VALUE"""),"A.P. Budh Talkhatav Dist.Satara-415503")</f>
        <v>A.P. Budh Talkhatav Dist.Satara-415503</v>
      </c>
      <c r="X28" s="24">
        <f ca="1">IFERROR(__xludf.DUMMYFUNCTION("""COMPUTED_VALUE"""),7588684645)</f>
        <v>7588684645</v>
      </c>
      <c r="Y28" s="24">
        <f ca="1">IFERROR(__xludf.DUMMYFUNCTION("""COMPUTED_VALUE"""),8975391235)</f>
        <v>8975391235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>
      <c r="A29" s="22">
        <v>24</v>
      </c>
      <c r="B29" s="27">
        <f ca="1">IFERROR(__xludf.DUMMYFUNCTION("""COMPUTED_VALUE"""),962)</f>
        <v>962</v>
      </c>
      <c r="C29" s="24" t="str">
        <f ca="1">IFERROR(__xludf.DUMMYFUNCTION("""COMPUTED_VALUE"""),"COMP")</f>
        <v>COMP</v>
      </c>
      <c r="D29" s="24" t="str">
        <f ca="1">IFERROR(__xludf.DUMMYFUNCTION("""COMPUTED_VALUE"""),"SE")</f>
        <v>SE</v>
      </c>
      <c r="E29" s="24" t="str">
        <f ca="1">IFERROR(__xludf.DUMMYFUNCTION("""COMPUTED_VALUE"""),"")</f>
        <v/>
      </c>
      <c r="F29" s="24">
        <f ca="1">IFERROR(__xludf.DUMMYFUNCTION("""COMPUTED_VALUE"""),1821040)</f>
        <v>1821040</v>
      </c>
      <c r="G29" s="24" t="str">
        <f ca="1">IFERROR(__xludf.DUMMYFUNCTION("""COMPUTED_VALUE"""),"Mr.")</f>
        <v>Mr.</v>
      </c>
      <c r="H29" s="25" t="str">
        <f ca="1">IFERROR(__xludf.DUMMYFUNCTION("""COMPUTED_VALUE"""),"Kothadiya Rounak Samir")</f>
        <v>Kothadiya Rounak Samir</v>
      </c>
      <c r="I29" s="24" t="str">
        <f ca="1">IFERROR(__xludf.DUMMYFUNCTION("""COMPUTED_VALUE"""),"")</f>
        <v/>
      </c>
      <c r="J29" s="25" t="str">
        <f ca="1">IFERROR(__xludf.DUMMYFUNCTION("""COMPUTED_VALUE"""),"Kothadiya")</f>
        <v>Kothadiya</v>
      </c>
      <c r="K29" s="25" t="str">
        <f ca="1">IFERROR(__xludf.DUMMYFUNCTION("""COMPUTED_VALUE"""),"Rounak")</f>
        <v>Rounak</v>
      </c>
      <c r="L29" s="25" t="str">
        <f ca="1">IFERROR(__xludf.DUMMYFUNCTION("""COMPUTED_VALUE"""),"Samir")</f>
        <v>Samir</v>
      </c>
      <c r="M29" s="25" t="str">
        <f ca="1">IFERROR(__xludf.DUMMYFUNCTION("""COMPUTED_VALUE"""),"Kothadiya Rounak Samir")</f>
        <v>Kothadiya Rounak Samir</v>
      </c>
      <c r="N29" s="25" t="str">
        <f ca="1">IFERROR(__xludf.DUMMYFUNCTION("""COMPUTED_VALUE"""),"Kothadiya Rounak S.")</f>
        <v>Kothadiya Rounak S.</v>
      </c>
      <c r="O29" s="25" t="str">
        <f ca="1">IFERROR(__xludf.DUMMYFUNCTION("""COMPUTED_VALUE"""),"Kothadiya R. S.")</f>
        <v>Kothadiya R. S.</v>
      </c>
      <c r="P29" s="24" t="str">
        <f ca="1">IFERROR(__xludf.DUMMYFUNCTION("""COMPUTED_VALUE"""),"REG")</f>
        <v>REG</v>
      </c>
      <c r="Q29" s="26" t="str">
        <f ca="1">IFERROR(__xludf.DUMMYFUNCTION("""COMPUTED_VALUE"""),"")</f>
        <v/>
      </c>
      <c r="R29" s="26" t="str">
        <f ca="1">IFERROR(__xludf.DUMMYFUNCTION("""COMPUTED_VALUE"""),"")</f>
        <v/>
      </c>
      <c r="S29" s="26" t="str">
        <f ca="1">IFERROR(__xludf.DUMMYFUNCTION("""COMPUTED_VALUE"""),"")</f>
        <v/>
      </c>
      <c r="T29" s="24" t="str">
        <f ca="1">IFERROR(__xludf.DUMMYFUNCTION("""COMPUTED_VALUE"""),"OPEN")</f>
        <v>OPEN</v>
      </c>
      <c r="U29" s="24" t="str">
        <f ca="1">IFERROR(__xludf.DUMMYFUNCTION("""COMPUTED_VALUE"""),"M")</f>
        <v>M</v>
      </c>
      <c r="V29" s="24">
        <f ca="1">IFERROR(__xludf.DUMMYFUNCTION("""COMPUTED_VALUE"""),2017)</f>
        <v>2017</v>
      </c>
      <c r="W29" s="25" t="str">
        <f ca="1">IFERROR(__xludf.DUMMYFUNCTION("""COMPUTED_VALUE"""),"Patas Road, Baramati-413102")</f>
        <v>Patas Road, Baramati-413102</v>
      </c>
      <c r="X29" s="24">
        <f ca="1">IFERROR(__xludf.DUMMYFUNCTION("""COMPUTED_VALUE"""),9881020081)</f>
        <v>9881020081</v>
      </c>
      <c r="Y29" s="24">
        <f ca="1">IFERROR(__xludf.DUMMYFUNCTION("""COMPUTED_VALUE"""),9657441008)</f>
        <v>9657441008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>
      <c r="A30" s="22">
        <v>25</v>
      </c>
      <c r="B30" s="27">
        <f ca="1">IFERROR(__xludf.DUMMYFUNCTION("""COMPUTED_VALUE"""),963)</f>
        <v>963</v>
      </c>
      <c r="C30" s="24" t="str">
        <f ca="1">IFERROR(__xludf.DUMMYFUNCTION("""COMPUTED_VALUE"""),"COMP")</f>
        <v>COMP</v>
      </c>
      <c r="D30" s="24" t="str">
        <f ca="1">IFERROR(__xludf.DUMMYFUNCTION("""COMPUTED_VALUE"""),"SE")</f>
        <v>SE</v>
      </c>
      <c r="E30" s="24" t="str">
        <f ca="1">IFERROR(__xludf.DUMMYFUNCTION("""COMPUTED_VALUE"""),"")</f>
        <v/>
      </c>
      <c r="F30" s="24">
        <f ca="1">IFERROR(__xludf.DUMMYFUNCTION("""COMPUTED_VALUE"""),1821041)</f>
        <v>1821041</v>
      </c>
      <c r="G30" s="24" t="str">
        <f ca="1">IFERROR(__xludf.DUMMYFUNCTION("""COMPUTED_VALUE"""),"Mr.")</f>
        <v>Mr.</v>
      </c>
      <c r="H30" s="25" t="str">
        <f ca="1">IFERROR(__xludf.DUMMYFUNCTION("""COMPUTED_VALUE"""),"Kulkarni Abhishek Nitin")</f>
        <v>Kulkarni Abhishek Nitin</v>
      </c>
      <c r="I30" s="24" t="str">
        <f ca="1">IFERROR(__xludf.DUMMYFUNCTION("""COMPUTED_VALUE"""),"")</f>
        <v/>
      </c>
      <c r="J30" s="25" t="str">
        <f ca="1">IFERROR(__xludf.DUMMYFUNCTION("""COMPUTED_VALUE"""),"Kulkarni")</f>
        <v>Kulkarni</v>
      </c>
      <c r="K30" s="25" t="str">
        <f ca="1">IFERROR(__xludf.DUMMYFUNCTION("""COMPUTED_VALUE"""),"Abhishek")</f>
        <v>Abhishek</v>
      </c>
      <c r="L30" s="25" t="str">
        <f ca="1">IFERROR(__xludf.DUMMYFUNCTION("""COMPUTED_VALUE"""),"Nitin")</f>
        <v>Nitin</v>
      </c>
      <c r="M30" s="25" t="str">
        <f ca="1">IFERROR(__xludf.DUMMYFUNCTION("""COMPUTED_VALUE"""),"Kulkarni Abhishek Nitin")</f>
        <v>Kulkarni Abhishek Nitin</v>
      </c>
      <c r="N30" s="25" t="str">
        <f ca="1">IFERROR(__xludf.DUMMYFUNCTION("""COMPUTED_VALUE"""),"Kulkarni Abhishek N.")</f>
        <v>Kulkarni Abhishek N.</v>
      </c>
      <c r="O30" s="25" t="str">
        <f ca="1">IFERROR(__xludf.DUMMYFUNCTION("""COMPUTED_VALUE"""),"Kulkarni A. N.")</f>
        <v>Kulkarni A. N.</v>
      </c>
      <c r="P30" s="24" t="str">
        <f ca="1">IFERROR(__xludf.DUMMYFUNCTION("""COMPUTED_VALUE"""),"REG")</f>
        <v>REG</v>
      </c>
      <c r="Q30" s="26" t="str">
        <f ca="1">IFERROR(__xludf.DUMMYFUNCTION("""COMPUTED_VALUE"""),"")</f>
        <v/>
      </c>
      <c r="R30" s="26" t="str">
        <f ca="1">IFERROR(__xludf.DUMMYFUNCTION("""COMPUTED_VALUE"""),"")</f>
        <v/>
      </c>
      <c r="S30" s="26" t="str">
        <f ca="1">IFERROR(__xludf.DUMMYFUNCTION("""COMPUTED_VALUE"""),"")</f>
        <v/>
      </c>
      <c r="T30" s="24" t="str">
        <f ca="1">IFERROR(__xludf.DUMMYFUNCTION("""COMPUTED_VALUE"""),"OPEN")</f>
        <v>OPEN</v>
      </c>
      <c r="U30" s="24" t="str">
        <f ca="1">IFERROR(__xludf.DUMMYFUNCTION("""COMPUTED_VALUE"""),"M")</f>
        <v>M</v>
      </c>
      <c r="V30" s="24">
        <f ca="1">IFERROR(__xludf.DUMMYFUNCTION("""COMPUTED_VALUE"""),2017)</f>
        <v>2017</v>
      </c>
      <c r="W30" s="25" t="str">
        <f ca="1">IFERROR(__xludf.DUMMYFUNCTION("""COMPUTED_VALUE"""),"Plot No. 98, Golibar Maidan, Phaltan, Dist. Satara-415523")</f>
        <v>Plot No. 98, Golibar Maidan, Phaltan, Dist. Satara-415523</v>
      </c>
      <c r="X30" s="24">
        <f ca="1">IFERROR(__xludf.DUMMYFUNCTION("""COMPUTED_VALUE"""),9970565856)</f>
        <v>9970565856</v>
      </c>
      <c r="Y30" s="24">
        <f ca="1">IFERROR(__xludf.DUMMYFUNCTION("""COMPUTED_VALUE"""),8806587004)</f>
        <v>8806587004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>
      <c r="A31" s="22">
        <v>26</v>
      </c>
      <c r="B31" s="27">
        <f ca="1">IFERROR(__xludf.DUMMYFUNCTION("""COMPUTED_VALUE"""),964)</f>
        <v>964</v>
      </c>
      <c r="C31" s="24" t="str">
        <f ca="1">IFERROR(__xludf.DUMMYFUNCTION("""COMPUTED_VALUE"""),"COMP")</f>
        <v>COMP</v>
      </c>
      <c r="D31" s="24" t="str">
        <f ca="1">IFERROR(__xludf.DUMMYFUNCTION("""COMPUTED_VALUE"""),"SE")</f>
        <v>SE</v>
      </c>
      <c r="E31" s="24" t="str">
        <f ca="1">IFERROR(__xludf.DUMMYFUNCTION("""COMPUTED_VALUE"""),"")</f>
        <v/>
      </c>
      <c r="F31" s="24">
        <f ca="1">IFERROR(__xludf.DUMMYFUNCTION("""COMPUTED_VALUE"""),1821042)</f>
        <v>1821042</v>
      </c>
      <c r="G31" s="24" t="str">
        <f ca="1">IFERROR(__xludf.DUMMYFUNCTION("""COMPUTED_VALUE"""),"Mr.")</f>
        <v>Mr.</v>
      </c>
      <c r="H31" s="25" t="str">
        <f ca="1">IFERROR(__xludf.DUMMYFUNCTION("""COMPUTED_VALUE"""),"Kulkarni Sarang Shrikant")</f>
        <v>Kulkarni Sarang Shrikant</v>
      </c>
      <c r="I31" s="24" t="str">
        <f ca="1">IFERROR(__xludf.DUMMYFUNCTION("""COMPUTED_VALUE"""),"")</f>
        <v/>
      </c>
      <c r="J31" s="25" t="str">
        <f ca="1">IFERROR(__xludf.DUMMYFUNCTION("""COMPUTED_VALUE"""),"Kulkarni")</f>
        <v>Kulkarni</v>
      </c>
      <c r="K31" s="25" t="str">
        <f ca="1">IFERROR(__xludf.DUMMYFUNCTION("""COMPUTED_VALUE"""),"Sarang")</f>
        <v>Sarang</v>
      </c>
      <c r="L31" s="25" t="str">
        <f ca="1">IFERROR(__xludf.DUMMYFUNCTION("""COMPUTED_VALUE"""),"Shrikant")</f>
        <v>Shrikant</v>
      </c>
      <c r="M31" s="25" t="str">
        <f ca="1">IFERROR(__xludf.DUMMYFUNCTION("""COMPUTED_VALUE"""),"Kulkarni Sarang Shrikant")</f>
        <v>Kulkarni Sarang Shrikant</v>
      </c>
      <c r="N31" s="25" t="str">
        <f ca="1">IFERROR(__xludf.DUMMYFUNCTION("""COMPUTED_VALUE"""),"Kulkarni Sarang S.")</f>
        <v>Kulkarni Sarang S.</v>
      </c>
      <c r="O31" s="25" t="str">
        <f ca="1">IFERROR(__xludf.DUMMYFUNCTION("""COMPUTED_VALUE"""),"Kulkarni S. S.")</f>
        <v>Kulkarni S. S.</v>
      </c>
      <c r="P31" s="24" t="str">
        <f ca="1">IFERROR(__xludf.DUMMYFUNCTION("""COMPUTED_VALUE"""),"REG")</f>
        <v>REG</v>
      </c>
      <c r="Q31" s="26" t="str">
        <f ca="1">IFERROR(__xludf.DUMMYFUNCTION("""COMPUTED_VALUE"""),"")</f>
        <v/>
      </c>
      <c r="R31" s="26" t="str">
        <f ca="1">IFERROR(__xludf.DUMMYFUNCTION("""COMPUTED_VALUE"""),"")</f>
        <v/>
      </c>
      <c r="S31" s="26" t="str">
        <f ca="1">IFERROR(__xludf.DUMMYFUNCTION("""COMPUTED_VALUE"""),"")</f>
        <v/>
      </c>
      <c r="T31" s="24" t="str">
        <f ca="1">IFERROR(__xludf.DUMMYFUNCTION("""COMPUTED_VALUE"""),"OPEN")</f>
        <v>OPEN</v>
      </c>
      <c r="U31" s="24" t="str">
        <f ca="1">IFERROR(__xludf.DUMMYFUNCTION("""COMPUTED_VALUE"""),"M")</f>
        <v>M</v>
      </c>
      <c r="V31" s="24">
        <f ca="1">IFERROR(__xludf.DUMMYFUNCTION("""COMPUTED_VALUE"""),2017)</f>
        <v>2017</v>
      </c>
      <c r="W31" s="25" t="str">
        <f ca="1">IFERROR(__xludf.DUMMYFUNCTION("""COMPUTED_VALUE"""),"Baramati Agro Ltd, Pimpali, Tal.Baramati Dist.Pune-413102")</f>
        <v>Baramati Agro Ltd, Pimpali, Tal.Baramati Dist.Pune-413102</v>
      </c>
      <c r="X31" s="24">
        <f ca="1">IFERROR(__xludf.DUMMYFUNCTION("""COMPUTED_VALUE"""),9763586092)</f>
        <v>9763586092</v>
      </c>
      <c r="Y31" s="24">
        <f ca="1">IFERROR(__xludf.DUMMYFUNCTION("""COMPUTED_VALUE"""),9503900846)</f>
        <v>9503900846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>
      <c r="A32" s="22">
        <v>27</v>
      </c>
      <c r="B32" s="27">
        <f ca="1">IFERROR(__xludf.DUMMYFUNCTION("""COMPUTED_VALUE"""),965)</f>
        <v>965</v>
      </c>
      <c r="C32" s="24" t="str">
        <f ca="1">IFERROR(__xludf.DUMMYFUNCTION("""COMPUTED_VALUE"""),"COMP")</f>
        <v>COMP</v>
      </c>
      <c r="D32" s="24" t="str">
        <f ca="1">IFERROR(__xludf.DUMMYFUNCTION("""COMPUTED_VALUE"""),"SE")</f>
        <v>SE</v>
      </c>
      <c r="E32" s="24" t="str">
        <f ca="1">IFERROR(__xludf.DUMMYFUNCTION("""COMPUTED_VALUE"""),"")</f>
        <v/>
      </c>
      <c r="F32" s="24">
        <f ca="1">IFERROR(__xludf.DUMMYFUNCTION("""COMPUTED_VALUE"""),1821043)</f>
        <v>1821043</v>
      </c>
      <c r="G32" s="24" t="str">
        <f ca="1">IFERROR(__xludf.DUMMYFUNCTION("""COMPUTED_VALUE"""),"Mr.")</f>
        <v>Mr.</v>
      </c>
      <c r="H32" s="25" t="str">
        <f ca="1">IFERROR(__xludf.DUMMYFUNCTION("""COMPUTED_VALUE"""),"Kumbhar Vaibhav Madhav")</f>
        <v>Kumbhar Vaibhav Madhav</v>
      </c>
      <c r="I32" s="24" t="str">
        <f ca="1">IFERROR(__xludf.DUMMYFUNCTION("""COMPUTED_VALUE"""),"")</f>
        <v/>
      </c>
      <c r="J32" s="25" t="str">
        <f ca="1">IFERROR(__xludf.DUMMYFUNCTION("""COMPUTED_VALUE"""),"Kumbhar")</f>
        <v>Kumbhar</v>
      </c>
      <c r="K32" s="25" t="str">
        <f ca="1">IFERROR(__xludf.DUMMYFUNCTION("""COMPUTED_VALUE"""),"Vaibhav")</f>
        <v>Vaibhav</v>
      </c>
      <c r="L32" s="25" t="str">
        <f ca="1">IFERROR(__xludf.DUMMYFUNCTION("""COMPUTED_VALUE"""),"Madhav")</f>
        <v>Madhav</v>
      </c>
      <c r="M32" s="25" t="str">
        <f ca="1">IFERROR(__xludf.DUMMYFUNCTION("""COMPUTED_VALUE"""),"Kumbhar Vaibhav Madhav")</f>
        <v>Kumbhar Vaibhav Madhav</v>
      </c>
      <c r="N32" s="25" t="str">
        <f ca="1">IFERROR(__xludf.DUMMYFUNCTION("""COMPUTED_VALUE"""),"Kumbhar Vaibhav M.")</f>
        <v>Kumbhar Vaibhav M.</v>
      </c>
      <c r="O32" s="25" t="str">
        <f ca="1">IFERROR(__xludf.DUMMYFUNCTION("""COMPUTED_VALUE"""),"Kumbhar V. M.")</f>
        <v>Kumbhar V. M.</v>
      </c>
      <c r="P32" s="24" t="str">
        <f ca="1">IFERROR(__xludf.DUMMYFUNCTION("""COMPUTED_VALUE"""),"REG")</f>
        <v>REG</v>
      </c>
      <c r="Q32" s="26" t="str">
        <f ca="1">IFERROR(__xludf.DUMMYFUNCTION("""COMPUTED_VALUE"""),"")</f>
        <v/>
      </c>
      <c r="R32" s="26" t="str">
        <f ca="1">IFERROR(__xludf.DUMMYFUNCTION("""COMPUTED_VALUE"""),"")</f>
        <v/>
      </c>
      <c r="S32" s="26" t="str">
        <f ca="1">IFERROR(__xludf.DUMMYFUNCTION("""COMPUTED_VALUE"""),"")</f>
        <v/>
      </c>
      <c r="T32" s="24" t="str">
        <f ca="1">IFERROR(__xludf.DUMMYFUNCTION("""COMPUTED_VALUE"""),"OBC")</f>
        <v>OBC</v>
      </c>
      <c r="U32" s="24" t="str">
        <f ca="1">IFERROR(__xludf.DUMMYFUNCTION("""COMPUTED_VALUE"""),"M")</f>
        <v>M</v>
      </c>
      <c r="V32" s="24">
        <f ca="1">IFERROR(__xludf.DUMMYFUNCTION("""COMPUTED_VALUE"""),2016)</f>
        <v>2016</v>
      </c>
      <c r="W32" s="25" t="str">
        <f ca="1">IFERROR(__xludf.DUMMYFUNCTION("""COMPUTED_VALUE"""),"A/P-Dhanlaxminagar, Jintoor Road, Parbhani-431401, M-9421053719")</f>
        <v>A/P-Dhanlaxminagar, Jintoor Road, Parbhani-431401, M-9421053719</v>
      </c>
      <c r="X32" s="24" t="str">
        <f ca="1">IFERROR(__xludf.DUMMYFUNCTION("""COMPUTED_VALUE"""),"-")</f>
        <v>-</v>
      </c>
      <c r="Y32" s="24">
        <f ca="1">IFERROR(__xludf.DUMMYFUNCTION("""COMPUTED_VALUE"""),9422893142)</f>
        <v>9422893142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>
      <c r="A33" s="22">
        <v>28</v>
      </c>
      <c r="B33" s="27">
        <f ca="1">IFERROR(__xludf.DUMMYFUNCTION("""COMPUTED_VALUE"""),966)</f>
        <v>966</v>
      </c>
      <c r="C33" s="24" t="str">
        <f ca="1">IFERROR(__xludf.DUMMYFUNCTION("""COMPUTED_VALUE"""),"COMP")</f>
        <v>COMP</v>
      </c>
      <c r="D33" s="24" t="str">
        <f ca="1">IFERROR(__xludf.DUMMYFUNCTION("""COMPUTED_VALUE"""),"SE")</f>
        <v>SE</v>
      </c>
      <c r="E33" s="24" t="str">
        <f ca="1">IFERROR(__xludf.DUMMYFUNCTION("""COMPUTED_VALUE"""),"")</f>
        <v/>
      </c>
      <c r="F33" s="24">
        <f ca="1">IFERROR(__xludf.DUMMYFUNCTION("""COMPUTED_VALUE"""),1821045)</f>
        <v>1821045</v>
      </c>
      <c r="G33" s="24" t="str">
        <f ca="1">IFERROR(__xludf.DUMMYFUNCTION("""COMPUTED_VALUE"""),"Ms.")</f>
        <v>Ms.</v>
      </c>
      <c r="H33" s="25" t="str">
        <f ca="1">IFERROR(__xludf.DUMMYFUNCTION("""COMPUTED_VALUE"""),"Mahamuni Rucha Dattatraya")</f>
        <v>Mahamuni Rucha Dattatraya</v>
      </c>
      <c r="I33" s="24" t="str">
        <f ca="1">IFERROR(__xludf.DUMMYFUNCTION("""COMPUTED_VALUE"""),"")</f>
        <v/>
      </c>
      <c r="J33" s="25" t="str">
        <f ca="1">IFERROR(__xludf.DUMMYFUNCTION("""COMPUTED_VALUE"""),"Mahamuni")</f>
        <v>Mahamuni</v>
      </c>
      <c r="K33" s="25" t="str">
        <f ca="1">IFERROR(__xludf.DUMMYFUNCTION("""COMPUTED_VALUE"""),"Rucha")</f>
        <v>Rucha</v>
      </c>
      <c r="L33" s="25" t="str">
        <f ca="1">IFERROR(__xludf.DUMMYFUNCTION("""COMPUTED_VALUE"""),"Dattatraya")</f>
        <v>Dattatraya</v>
      </c>
      <c r="M33" s="25" t="str">
        <f ca="1">IFERROR(__xludf.DUMMYFUNCTION("""COMPUTED_VALUE"""),"Mahamuni Rucha Dattatraya")</f>
        <v>Mahamuni Rucha Dattatraya</v>
      </c>
      <c r="N33" s="25" t="str">
        <f ca="1">IFERROR(__xludf.DUMMYFUNCTION("""COMPUTED_VALUE"""),"Mahamuni Rucha D.")</f>
        <v>Mahamuni Rucha D.</v>
      </c>
      <c r="O33" s="25" t="str">
        <f ca="1">IFERROR(__xludf.DUMMYFUNCTION("""COMPUTED_VALUE"""),"Mahamuni R. D.")</f>
        <v>Mahamuni R. D.</v>
      </c>
      <c r="P33" s="24" t="str">
        <f ca="1">IFERROR(__xludf.DUMMYFUNCTION("""COMPUTED_VALUE"""),"REG")</f>
        <v>REG</v>
      </c>
      <c r="Q33" s="26" t="str">
        <f ca="1">IFERROR(__xludf.DUMMYFUNCTION("""COMPUTED_VALUE"""),"")</f>
        <v/>
      </c>
      <c r="R33" s="26" t="str">
        <f ca="1">IFERROR(__xludf.DUMMYFUNCTION("""COMPUTED_VALUE"""),"")</f>
        <v/>
      </c>
      <c r="S33" s="26" t="str">
        <f ca="1">IFERROR(__xludf.DUMMYFUNCTION("""COMPUTED_VALUE"""),"")</f>
        <v/>
      </c>
      <c r="T33" s="24" t="str">
        <f ca="1">IFERROR(__xludf.DUMMYFUNCTION("""COMPUTED_VALUE"""),"OBC")</f>
        <v>OBC</v>
      </c>
      <c r="U33" s="24" t="str">
        <f ca="1">IFERROR(__xludf.DUMMYFUNCTION("""COMPUTED_VALUE"""),"F")</f>
        <v>F</v>
      </c>
      <c r="V33" s="24">
        <f ca="1">IFERROR(__xludf.DUMMYFUNCTION("""COMPUTED_VALUE"""),2017)</f>
        <v>2017</v>
      </c>
      <c r="W33" s="25" t="str">
        <f ca="1">IFERROR(__xludf.DUMMYFUNCTION("""COMPUTED_VALUE"""),"8 Pushpak Appartments Near T.C. College Vasantnagar Baramati-413102")</f>
        <v>8 Pushpak Appartments Near T.C. College Vasantnagar Baramati-413102</v>
      </c>
      <c r="X33" s="24">
        <f ca="1">IFERROR(__xludf.DUMMYFUNCTION("""COMPUTED_VALUE"""),9657241500)</f>
        <v>9657241500</v>
      </c>
      <c r="Y33" s="24">
        <f ca="1">IFERROR(__xludf.DUMMYFUNCTION("""COMPUTED_VALUE"""),8308179533)</f>
        <v>8308179533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>
      <c r="A34" s="22">
        <v>29</v>
      </c>
      <c r="B34" s="27">
        <f ca="1">IFERROR(__xludf.DUMMYFUNCTION("""COMPUTED_VALUE"""),967)</f>
        <v>967</v>
      </c>
      <c r="C34" s="24" t="str">
        <f ca="1">IFERROR(__xludf.DUMMYFUNCTION("""COMPUTED_VALUE"""),"COMP")</f>
        <v>COMP</v>
      </c>
      <c r="D34" s="24" t="str">
        <f ca="1">IFERROR(__xludf.DUMMYFUNCTION("""COMPUTED_VALUE"""),"SE")</f>
        <v>SE</v>
      </c>
      <c r="E34" s="24" t="str">
        <f ca="1">IFERROR(__xludf.DUMMYFUNCTION("""COMPUTED_VALUE"""),"")</f>
        <v/>
      </c>
      <c r="F34" s="24">
        <f ca="1">IFERROR(__xludf.DUMMYFUNCTION("""COMPUTED_VALUE"""),1821046)</f>
        <v>1821046</v>
      </c>
      <c r="G34" s="24" t="str">
        <f ca="1">IFERROR(__xludf.DUMMYFUNCTION("""COMPUTED_VALUE"""),"Mr.")</f>
        <v>Mr.</v>
      </c>
      <c r="H34" s="25" t="str">
        <f ca="1">IFERROR(__xludf.DUMMYFUNCTION("""COMPUTED_VALUE"""),"Mallav Sourabh Ramesh")</f>
        <v>Mallav Sourabh Ramesh</v>
      </c>
      <c r="I34" s="24" t="str">
        <f ca="1">IFERROR(__xludf.DUMMYFUNCTION("""COMPUTED_VALUE"""),"")</f>
        <v/>
      </c>
      <c r="J34" s="25" t="str">
        <f ca="1">IFERROR(__xludf.DUMMYFUNCTION("""COMPUTED_VALUE"""),"Mallav")</f>
        <v>Mallav</v>
      </c>
      <c r="K34" s="25" t="str">
        <f ca="1">IFERROR(__xludf.DUMMYFUNCTION("""COMPUTED_VALUE"""),"Sourabh")</f>
        <v>Sourabh</v>
      </c>
      <c r="L34" s="25" t="str">
        <f ca="1">IFERROR(__xludf.DUMMYFUNCTION("""COMPUTED_VALUE"""),"Ramesh")</f>
        <v>Ramesh</v>
      </c>
      <c r="M34" s="25" t="str">
        <f ca="1">IFERROR(__xludf.DUMMYFUNCTION("""COMPUTED_VALUE"""),"Mallav Sourabh Ramesh")</f>
        <v>Mallav Sourabh Ramesh</v>
      </c>
      <c r="N34" s="25" t="str">
        <f ca="1">IFERROR(__xludf.DUMMYFUNCTION("""COMPUTED_VALUE"""),"Mallav Sourabh R.")</f>
        <v>Mallav Sourabh R.</v>
      </c>
      <c r="O34" s="25" t="str">
        <f ca="1">IFERROR(__xludf.DUMMYFUNCTION("""COMPUTED_VALUE"""),"Mallav S. R.")</f>
        <v>Mallav S. R.</v>
      </c>
      <c r="P34" s="24" t="str">
        <f ca="1">IFERROR(__xludf.DUMMYFUNCTION("""COMPUTED_VALUE"""),"REG")</f>
        <v>REG</v>
      </c>
      <c r="Q34" s="26" t="str">
        <f ca="1">IFERROR(__xludf.DUMMYFUNCTION("""COMPUTED_VALUE"""),"")</f>
        <v/>
      </c>
      <c r="R34" s="26" t="str">
        <f ca="1">IFERROR(__xludf.DUMMYFUNCTION("""COMPUTED_VALUE"""),"")</f>
        <v/>
      </c>
      <c r="S34" s="26" t="str">
        <f ca="1">IFERROR(__xludf.DUMMYFUNCTION("""COMPUTED_VALUE"""),"")</f>
        <v/>
      </c>
      <c r="T34" s="24" t="str">
        <f ca="1">IFERROR(__xludf.DUMMYFUNCTION("""COMPUTED_VALUE"""),"NT1")</f>
        <v>NT1</v>
      </c>
      <c r="U34" s="24" t="str">
        <f ca="1">IFERROR(__xludf.DUMMYFUNCTION("""COMPUTED_VALUE"""),"M")</f>
        <v>M</v>
      </c>
      <c r="V34" s="24">
        <f ca="1">IFERROR(__xludf.DUMMYFUNCTION("""COMPUTED_VALUE"""),2017)</f>
        <v>2017</v>
      </c>
      <c r="W34" s="25" t="str">
        <f ca="1">IFERROR(__xludf.DUMMYFUNCTION("""COMPUTED_VALUE"""),"Shriram Housing Society, Indapur Dist Pune-413106")</f>
        <v>Shriram Housing Society, Indapur Dist Pune-413106</v>
      </c>
      <c r="X34" s="24">
        <f ca="1">IFERROR(__xludf.DUMMYFUNCTION("""COMPUTED_VALUE"""),9422522033)</f>
        <v>9422522033</v>
      </c>
      <c r="Y34" s="24">
        <f ca="1">IFERROR(__xludf.DUMMYFUNCTION("""COMPUTED_VALUE"""),8600632998)</f>
        <v>8600632998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>
      <c r="A35" s="22">
        <v>30</v>
      </c>
      <c r="B35" s="27">
        <f ca="1">IFERROR(__xludf.DUMMYFUNCTION("""COMPUTED_VALUE"""),968)</f>
        <v>968</v>
      </c>
      <c r="C35" s="24" t="str">
        <f ca="1">IFERROR(__xludf.DUMMYFUNCTION("""COMPUTED_VALUE"""),"COMP")</f>
        <v>COMP</v>
      </c>
      <c r="D35" s="24" t="str">
        <f ca="1">IFERROR(__xludf.DUMMYFUNCTION("""COMPUTED_VALUE"""),"SE")</f>
        <v>SE</v>
      </c>
      <c r="E35" s="24" t="str">
        <f ca="1">IFERROR(__xludf.DUMMYFUNCTION("""COMPUTED_VALUE"""),"")</f>
        <v/>
      </c>
      <c r="F35" s="24">
        <f ca="1">IFERROR(__xludf.DUMMYFUNCTION("""COMPUTED_VALUE"""),1821047)</f>
        <v>1821047</v>
      </c>
      <c r="G35" s="24" t="str">
        <f ca="1">IFERROR(__xludf.DUMMYFUNCTION("""COMPUTED_VALUE"""),"Mr.")</f>
        <v>Mr.</v>
      </c>
      <c r="H35" s="25" t="str">
        <f ca="1">IFERROR(__xludf.DUMMYFUNCTION("""COMPUTED_VALUE"""),"Malusare Prashant Sambhaji")</f>
        <v>Malusare Prashant Sambhaji</v>
      </c>
      <c r="I35" s="24" t="str">
        <f ca="1">IFERROR(__xludf.DUMMYFUNCTION("""COMPUTED_VALUE"""),"")</f>
        <v/>
      </c>
      <c r="J35" s="25" t="str">
        <f ca="1">IFERROR(__xludf.DUMMYFUNCTION("""COMPUTED_VALUE"""),"Malusare")</f>
        <v>Malusare</v>
      </c>
      <c r="K35" s="25" t="str">
        <f ca="1">IFERROR(__xludf.DUMMYFUNCTION("""COMPUTED_VALUE"""),"Prashant")</f>
        <v>Prashant</v>
      </c>
      <c r="L35" s="25" t="str">
        <f ca="1">IFERROR(__xludf.DUMMYFUNCTION("""COMPUTED_VALUE"""),"Sambhaji")</f>
        <v>Sambhaji</v>
      </c>
      <c r="M35" s="25" t="str">
        <f ca="1">IFERROR(__xludf.DUMMYFUNCTION("""COMPUTED_VALUE"""),"Malusare Prashant Sambhaji")</f>
        <v>Malusare Prashant Sambhaji</v>
      </c>
      <c r="N35" s="25" t="str">
        <f ca="1">IFERROR(__xludf.DUMMYFUNCTION("""COMPUTED_VALUE"""),"Malusare Prashant S.")</f>
        <v>Malusare Prashant S.</v>
      </c>
      <c r="O35" s="25" t="str">
        <f ca="1">IFERROR(__xludf.DUMMYFUNCTION("""COMPUTED_VALUE"""),"Malusare P. S.")</f>
        <v>Malusare P. S.</v>
      </c>
      <c r="P35" s="24" t="str">
        <f ca="1">IFERROR(__xludf.DUMMYFUNCTION("""COMPUTED_VALUE"""),"REG")</f>
        <v>REG</v>
      </c>
      <c r="Q35" s="26" t="str">
        <f ca="1">IFERROR(__xludf.DUMMYFUNCTION("""COMPUTED_VALUE"""),"")</f>
        <v/>
      </c>
      <c r="R35" s="26" t="str">
        <f ca="1">IFERROR(__xludf.DUMMYFUNCTION("""COMPUTED_VALUE"""),"")</f>
        <v/>
      </c>
      <c r="S35" s="26" t="str">
        <f ca="1">IFERROR(__xludf.DUMMYFUNCTION("""COMPUTED_VALUE"""),"")</f>
        <v/>
      </c>
      <c r="T35" s="24" t="str">
        <f ca="1">IFERROR(__xludf.DUMMYFUNCTION("""COMPUTED_VALUE"""),"OPEN")</f>
        <v>OPEN</v>
      </c>
      <c r="U35" s="24" t="str">
        <f ca="1">IFERROR(__xludf.DUMMYFUNCTION("""COMPUTED_VALUE"""),"M")</f>
        <v>M</v>
      </c>
      <c r="V35" s="24">
        <f ca="1">IFERROR(__xludf.DUMMYFUNCTION("""COMPUTED_VALUE"""),2017)</f>
        <v>2017</v>
      </c>
      <c r="W35" s="25" t="str">
        <f ca="1">IFERROR(__xludf.DUMMYFUNCTION("""COMPUTED_VALUE"""),"At Pawarwadi Post. Ajunj Shrigonda Dist. A'nagar-414701")</f>
        <v>At Pawarwadi Post. Ajunj Shrigonda Dist. A'nagar-414701</v>
      </c>
      <c r="X35" s="24">
        <f ca="1">IFERROR(__xludf.DUMMYFUNCTION("""COMPUTED_VALUE"""),8888032078)</f>
        <v>8888032078</v>
      </c>
      <c r="Y35" s="24">
        <f ca="1">IFERROR(__xludf.DUMMYFUNCTION("""COMPUTED_VALUE"""),8805279381)</f>
        <v>8805279381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>
      <c r="A36" s="22">
        <v>31</v>
      </c>
      <c r="B36" s="27">
        <f ca="1">IFERROR(__xludf.DUMMYFUNCTION("""COMPUTED_VALUE"""),969)</f>
        <v>969</v>
      </c>
      <c r="C36" s="24" t="str">
        <f ca="1">IFERROR(__xludf.DUMMYFUNCTION("""COMPUTED_VALUE"""),"COMP")</f>
        <v>COMP</v>
      </c>
      <c r="D36" s="24" t="str">
        <f ca="1">IFERROR(__xludf.DUMMYFUNCTION("""COMPUTED_VALUE"""),"SE")</f>
        <v>SE</v>
      </c>
      <c r="E36" s="24" t="str">
        <f ca="1">IFERROR(__xludf.DUMMYFUNCTION("""COMPUTED_VALUE"""),"")</f>
        <v/>
      </c>
      <c r="F36" s="24">
        <f ca="1">IFERROR(__xludf.DUMMYFUNCTION("""COMPUTED_VALUE"""),1821048)</f>
        <v>1821048</v>
      </c>
      <c r="G36" s="24" t="str">
        <f ca="1">IFERROR(__xludf.DUMMYFUNCTION("""COMPUTED_VALUE"""),"Ms.")</f>
        <v>Ms.</v>
      </c>
      <c r="H36" s="25" t="str">
        <f ca="1">IFERROR(__xludf.DUMMYFUNCTION("""COMPUTED_VALUE"""),"Maniyar Priyanka Ajay")</f>
        <v>Maniyar Priyanka Ajay</v>
      </c>
      <c r="I36" s="24" t="str">
        <f ca="1">IFERROR(__xludf.DUMMYFUNCTION("""COMPUTED_VALUE"""),"")</f>
        <v/>
      </c>
      <c r="J36" s="25" t="str">
        <f ca="1">IFERROR(__xludf.DUMMYFUNCTION("""COMPUTED_VALUE"""),"Maniyar")</f>
        <v>Maniyar</v>
      </c>
      <c r="K36" s="25" t="str">
        <f ca="1">IFERROR(__xludf.DUMMYFUNCTION("""COMPUTED_VALUE"""),"Priyanka")</f>
        <v>Priyanka</v>
      </c>
      <c r="L36" s="25" t="str">
        <f ca="1">IFERROR(__xludf.DUMMYFUNCTION("""COMPUTED_VALUE"""),"Ajay")</f>
        <v>Ajay</v>
      </c>
      <c r="M36" s="25" t="str">
        <f ca="1">IFERROR(__xludf.DUMMYFUNCTION("""COMPUTED_VALUE"""),"Maniyar Priyanka Ajay")</f>
        <v>Maniyar Priyanka Ajay</v>
      </c>
      <c r="N36" s="25" t="str">
        <f ca="1">IFERROR(__xludf.DUMMYFUNCTION("""COMPUTED_VALUE"""),"Maniyar Priyanka A.")</f>
        <v>Maniyar Priyanka A.</v>
      </c>
      <c r="O36" s="25" t="str">
        <f ca="1">IFERROR(__xludf.DUMMYFUNCTION("""COMPUTED_VALUE"""),"Maniyar P. A.")</f>
        <v>Maniyar P. A.</v>
      </c>
      <c r="P36" s="24" t="str">
        <f ca="1">IFERROR(__xludf.DUMMYFUNCTION("""COMPUTED_VALUE"""),"REG")</f>
        <v>REG</v>
      </c>
      <c r="Q36" s="26" t="str">
        <f ca="1">IFERROR(__xludf.DUMMYFUNCTION("""COMPUTED_VALUE"""),"")</f>
        <v/>
      </c>
      <c r="R36" s="26" t="str">
        <f ca="1">IFERROR(__xludf.DUMMYFUNCTION("""COMPUTED_VALUE"""),"")</f>
        <v/>
      </c>
      <c r="S36" s="26" t="str">
        <f ca="1">IFERROR(__xludf.DUMMYFUNCTION("""COMPUTED_VALUE"""),"")</f>
        <v/>
      </c>
      <c r="T36" s="24" t="str">
        <f ca="1">IFERROR(__xludf.DUMMYFUNCTION("""COMPUTED_VALUE"""),"OPEN")</f>
        <v>OPEN</v>
      </c>
      <c r="U36" s="24" t="str">
        <f ca="1">IFERROR(__xludf.DUMMYFUNCTION("""COMPUTED_VALUE"""),"F")</f>
        <v>F</v>
      </c>
      <c r="V36" s="24">
        <f ca="1">IFERROR(__xludf.DUMMYFUNCTION("""COMPUTED_VALUE"""),2017)</f>
        <v>2017</v>
      </c>
      <c r="W36" s="25" t="str">
        <f ca="1">IFERROR(__xludf.DUMMYFUNCTION("""COMPUTED_VALUE"""),"D-5, Sayali Sugandh Apprtments, Vidyanagar, Bhigwan Road Baramati-413102")</f>
        <v>D-5, Sayali Sugandh Apprtments, Vidyanagar, Bhigwan Road Baramati-413102</v>
      </c>
      <c r="X36" s="24">
        <f ca="1">IFERROR(__xludf.DUMMYFUNCTION("""COMPUTED_VALUE"""),9860030760)</f>
        <v>9860030760</v>
      </c>
      <c r="Y36" s="24">
        <f ca="1">IFERROR(__xludf.DUMMYFUNCTION("""COMPUTED_VALUE"""),7083850659)</f>
        <v>7083850659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>
      <c r="A37" s="22">
        <v>32</v>
      </c>
      <c r="B37" s="27">
        <f ca="1">IFERROR(__xludf.DUMMYFUNCTION("""COMPUTED_VALUE"""),970)</f>
        <v>970</v>
      </c>
      <c r="C37" s="24" t="str">
        <f ca="1">IFERROR(__xludf.DUMMYFUNCTION("""COMPUTED_VALUE"""),"COMP")</f>
        <v>COMP</v>
      </c>
      <c r="D37" s="24" t="str">
        <f ca="1">IFERROR(__xludf.DUMMYFUNCTION("""COMPUTED_VALUE"""),"SE")</f>
        <v>SE</v>
      </c>
      <c r="E37" s="24" t="str">
        <f ca="1">IFERROR(__xludf.DUMMYFUNCTION("""COMPUTED_VALUE"""),"")</f>
        <v/>
      </c>
      <c r="F37" s="24">
        <f ca="1">IFERROR(__xludf.DUMMYFUNCTION("""COMPUTED_VALUE"""),1821049)</f>
        <v>1821049</v>
      </c>
      <c r="G37" s="24" t="str">
        <f ca="1">IFERROR(__xludf.DUMMYFUNCTION("""COMPUTED_VALUE"""),"Ms.")</f>
        <v>Ms.</v>
      </c>
      <c r="H37" s="25" t="str">
        <f ca="1">IFERROR(__xludf.DUMMYFUNCTION("""COMPUTED_VALUE"""),"Masal Amruta Mahadeo")</f>
        <v>Masal Amruta Mahadeo</v>
      </c>
      <c r="I37" s="24" t="str">
        <f ca="1">IFERROR(__xludf.DUMMYFUNCTION("""COMPUTED_VALUE"""),"")</f>
        <v/>
      </c>
      <c r="J37" s="25" t="str">
        <f ca="1">IFERROR(__xludf.DUMMYFUNCTION("""COMPUTED_VALUE"""),"Masal")</f>
        <v>Masal</v>
      </c>
      <c r="K37" s="25" t="str">
        <f ca="1">IFERROR(__xludf.DUMMYFUNCTION("""COMPUTED_VALUE"""),"Amruta")</f>
        <v>Amruta</v>
      </c>
      <c r="L37" s="25" t="str">
        <f ca="1">IFERROR(__xludf.DUMMYFUNCTION("""COMPUTED_VALUE"""),"Mahadeo")</f>
        <v>Mahadeo</v>
      </c>
      <c r="M37" s="25" t="str">
        <f ca="1">IFERROR(__xludf.DUMMYFUNCTION("""COMPUTED_VALUE"""),"Masal Amruta Mahadeo")</f>
        <v>Masal Amruta Mahadeo</v>
      </c>
      <c r="N37" s="25" t="str">
        <f ca="1">IFERROR(__xludf.DUMMYFUNCTION("""COMPUTED_VALUE"""),"Masal Amruta M.")</f>
        <v>Masal Amruta M.</v>
      </c>
      <c r="O37" s="25" t="str">
        <f ca="1">IFERROR(__xludf.DUMMYFUNCTION("""COMPUTED_VALUE"""),"Masal A. M.")</f>
        <v>Masal A. M.</v>
      </c>
      <c r="P37" s="24" t="str">
        <f ca="1">IFERROR(__xludf.DUMMYFUNCTION("""COMPUTED_VALUE"""),"REG")</f>
        <v>REG</v>
      </c>
      <c r="Q37" s="26" t="str">
        <f ca="1">IFERROR(__xludf.DUMMYFUNCTION("""COMPUTED_VALUE"""),"")</f>
        <v/>
      </c>
      <c r="R37" s="26" t="str">
        <f ca="1">IFERROR(__xludf.DUMMYFUNCTION("""COMPUTED_VALUE"""),"")</f>
        <v/>
      </c>
      <c r="S37" s="26" t="str">
        <f ca="1">IFERROR(__xludf.DUMMYFUNCTION("""COMPUTED_VALUE"""),"")</f>
        <v/>
      </c>
      <c r="T37" s="24" t="str">
        <f ca="1">IFERROR(__xludf.DUMMYFUNCTION("""COMPUTED_VALUE"""),"NT2")</f>
        <v>NT2</v>
      </c>
      <c r="U37" s="24" t="str">
        <f ca="1">IFERROR(__xludf.DUMMYFUNCTION("""COMPUTED_VALUE"""),"F")</f>
        <v>F</v>
      </c>
      <c r="V37" s="24">
        <f ca="1">IFERROR(__xludf.DUMMYFUNCTION("""COMPUTED_VALUE"""),2017)</f>
        <v>2017</v>
      </c>
      <c r="W37" s="25" t="str">
        <f ca="1">IFERROR(__xludf.DUMMYFUNCTION("""COMPUTED_VALUE"""),"A.P. Zargadwadi Tal. Baramati Dist Pune-413102")</f>
        <v>A.P. Zargadwadi Tal. Baramati Dist Pune-413102</v>
      </c>
      <c r="X37" s="24">
        <f ca="1">IFERROR(__xludf.DUMMYFUNCTION("""COMPUTED_VALUE"""),8888609662)</f>
        <v>8888609662</v>
      </c>
      <c r="Y37" s="24">
        <f ca="1">IFERROR(__xludf.DUMMYFUNCTION("""COMPUTED_VALUE"""),8888609662)</f>
        <v>8888609662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>
      <c r="A38" s="22">
        <v>33</v>
      </c>
      <c r="B38" s="27">
        <f ca="1">IFERROR(__xludf.DUMMYFUNCTION("""COMPUTED_VALUE"""),971)</f>
        <v>971</v>
      </c>
      <c r="C38" s="24" t="str">
        <f ca="1">IFERROR(__xludf.DUMMYFUNCTION("""COMPUTED_VALUE"""),"COMP")</f>
        <v>COMP</v>
      </c>
      <c r="D38" s="24" t="str">
        <f ca="1">IFERROR(__xludf.DUMMYFUNCTION("""COMPUTED_VALUE"""),"SE")</f>
        <v>SE</v>
      </c>
      <c r="E38" s="24" t="str">
        <f ca="1">IFERROR(__xludf.DUMMYFUNCTION("""COMPUTED_VALUE"""),"")</f>
        <v/>
      </c>
      <c r="F38" s="24">
        <f ca="1">IFERROR(__xludf.DUMMYFUNCTION("""COMPUTED_VALUE"""),1821050)</f>
        <v>1821050</v>
      </c>
      <c r="G38" s="24" t="str">
        <f ca="1">IFERROR(__xludf.DUMMYFUNCTION("""COMPUTED_VALUE"""),"Ms.")</f>
        <v>Ms.</v>
      </c>
      <c r="H38" s="25" t="str">
        <f ca="1">IFERROR(__xludf.DUMMYFUNCTION("""COMPUTED_VALUE"""),"Oswal Mittal Nitin")</f>
        <v>Oswal Mittal Nitin</v>
      </c>
      <c r="I38" s="24" t="str">
        <f ca="1">IFERROR(__xludf.DUMMYFUNCTION("""COMPUTED_VALUE"""),"")</f>
        <v/>
      </c>
      <c r="J38" s="25" t="str">
        <f ca="1">IFERROR(__xludf.DUMMYFUNCTION("""COMPUTED_VALUE"""),"Oswal")</f>
        <v>Oswal</v>
      </c>
      <c r="K38" s="25" t="str">
        <f ca="1">IFERROR(__xludf.DUMMYFUNCTION("""COMPUTED_VALUE"""),"Mittal")</f>
        <v>Mittal</v>
      </c>
      <c r="L38" s="25" t="str">
        <f ca="1">IFERROR(__xludf.DUMMYFUNCTION("""COMPUTED_VALUE"""),"Nitin")</f>
        <v>Nitin</v>
      </c>
      <c r="M38" s="25" t="str">
        <f ca="1">IFERROR(__xludf.DUMMYFUNCTION("""COMPUTED_VALUE"""),"Oswal Mittal Nitin")</f>
        <v>Oswal Mittal Nitin</v>
      </c>
      <c r="N38" s="25" t="str">
        <f ca="1">IFERROR(__xludf.DUMMYFUNCTION("""COMPUTED_VALUE"""),"Oswal Mittal N.")</f>
        <v>Oswal Mittal N.</v>
      </c>
      <c r="O38" s="25" t="str">
        <f ca="1">IFERROR(__xludf.DUMMYFUNCTION("""COMPUTED_VALUE"""),"Oswal M. N.")</f>
        <v>Oswal M. N.</v>
      </c>
      <c r="P38" s="24" t="str">
        <f ca="1">IFERROR(__xludf.DUMMYFUNCTION("""COMPUTED_VALUE"""),"REG")</f>
        <v>REG</v>
      </c>
      <c r="Q38" s="26" t="str">
        <f ca="1">IFERROR(__xludf.DUMMYFUNCTION("""COMPUTED_VALUE"""),"")</f>
        <v/>
      </c>
      <c r="R38" s="26" t="str">
        <f ca="1">IFERROR(__xludf.DUMMYFUNCTION("""COMPUTED_VALUE"""),"")</f>
        <v/>
      </c>
      <c r="S38" s="26" t="str">
        <f ca="1">IFERROR(__xludf.DUMMYFUNCTION("""COMPUTED_VALUE"""),"")</f>
        <v/>
      </c>
      <c r="T38" s="24" t="str">
        <f ca="1">IFERROR(__xludf.DUMMYFUNCTION("""COMPUTED_VALUE"""),"OPEN")</f>
        <v>OPEN</v>
      </c>
      <c r="U38" s="24" t="str">
        <f ca="1">IFERROR(__xludf.DUMMYFUNCTION("""COMPUTED_VALUE"""),"F")</f>
        <v>F</v>
      </c>
      <c r="V38" s="24">
        <f ca="1">IFERROR(__xludf.DUMMYFUNCTION("""COMPUTED_VALUE"""),2017)</f>
        <v>2017</v>
      </c>
      <c r="W38" s="25" t="str">
        <f ca="1">IFERROR(__xludf.DUMMYFUNCTION("""COMPUTED_VALUE"""),"Flat No.4, Shivshakti Appt.,Koshti Galli, Baramati-413102")</f>
        <v>Flat No.4, Shivshakti Appt.,Koshti Galli, Baramati-413102</v>
      </c>
      <c r="X38" s="24">
        <f ca="1">IFERROR(__xludf.DUMMYFUNCTION("""COMPUTED_VALUE"""),9588277324)</f>
        <v>9588277324</v>
      </c>
      <c r="Y38" s="24">
        <f ca="1">IFERROR(__xludf.DUMMYFUNCTION("""COMPUTED_VALUE"""),9850200575)</f>
        <v>9850200575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>
      <c r="A39" s="22">
        <v>34</v>
      </c>
      <c r="B39" s="27">
        <f ca="1">IFERROR(__xludf.DUMMYFUNCTION("""COMPUTED_VALUE"""),972)</f>
        <v>972</v>
      </c>
      <c r="C39" s="24" t="str">
        <f ca="1">IFERROR(__xludf.DUMMYFUNCTION("""COMPUTED_VALUE"""),"COMP")</f>
        <v>COMP</v>
      </c>
      <c r="D39" s="24" t="str">
        <f ca="1">IFERROR(__xludf.DUMMYFUNCTION("""COMPUTED_VALUE"""),"SE")</f>
        <v>SE</v>
      </c>
      <c r="E39" s="24" t="str">
        <f ca="1">IFERROR(__xludf.DUMMYFUNCTION("""COMPUTED_VALUE"""),"")</f>
        <v/>
      </c>
      <c r="F39" s="24">
        <f ca="1">IFERROR(__xludf.DUMMYFUNCTION("""COMPUTED_VALUE"""),1821051)</f>
        <v>1821051</v>
      </c>
      <c r="G39" s="24" t="str">
        <f ca="1">IFERROR(__xludf.DUMMYFUNCTION("""COMPUTED_VALUE"""),"Ms.")</f>
        <v>Ms.</v>
      </c>
      <c r="H39" s="25" t="str">
        <f ca="1">IFERROR(__xludf.DUMMYFUNCTION("""COMPUTED_VALUE"""),"Palve Vaishnavi Shridhar")</f>
        <v>Palve Vaishnavi Shridhar</v>
      </c>
      <c r="I39" s="24" t="str">
        <f ca="1">IFERROR(__xludf.DUMMYFUNCTION("""COMPUTED_VALUE"""),"")</f>
        <v/>
      </c>
      <c r="J39" s="25" t="str">
        <f ca="1">IFERROR(__xludf.DUMMYFUNCTION("""COMPUTED_VALUE"""),"Palve")</f>
        <v>Palve</v>
      </c>
      <c r="K39" s="25" t="str">
        <f ca="1">IFERROR(__xludf.DUMMYFUNCTION("""COMPUTED_VALUE"""),"Vaishnavi")</f>
        <v>Vaishnavi</v>
      </c>
      <c r="L39" s="25" t="str">
        <f ca="1">IFERROR(__xludf.DUMMYFUNCTION("""COMPUTED_VALUE"""),"Shridhar")</f>
        <v>Shridhar</v>
      </c>
      <c r="M39" s="25" t="str">
        <f ca="1">IFERROR(__xludf.DUMMYFUNCTION("""COMPUTED_VALUE"""),"Palve Vaishnavi Shridhar")</f>
        <v>Palve Vaishnavi Shridhar</v>
      </c>
      <c r="N39" s="25" t="str">
        <f ca="1">IFERROR(__xludf.DUMMYFUNCTION("""COMPUTED_VALUE"""),"Palve Vaishnavi S.")</f>
        <v>Palve Vaishnavi S.</v>
      </c>
      <c r="O39" s="25" t="str">
        <f ca="1">IFERROR(__xludf.DUMMYFUNCTION("""COMPUTED_VALUE"""),"Palve V. S.")</f>
        <v>Palve V. S.</v>
      </c>
      <c r="P39" s="24" t="str">
        <f ca="1">IFERROR(__xludf.DUMMYFUNCTION("""COMPUTED_VALUE"""),"REG")</f>
        <v>REG</v>
      </c>
      <c r="Q39" s="26" t="str">
        <f ca="1">IFERROR(__xludf.DUMMYFUNCTION("""COMPUTED_VALUE"""),"")</f>
        <v/>
      </c>
      <c r="R39" s="26" t="str">
        <f ca="1">IFERROR(__xludf.DUMMYFUNCTION("""COMPUTED_VALUE"""),"")</f>
        <v/>
      </c>
      <c r="S39" s="26" t="str">
        <f ca="1">IFERROR(__xludf.DUMMYFUNCTION("""COMPUTED_VALUE"""),"")</f>
        <v/>
      </c>
      <c r="T39" s="24" t="str">
        <f ca="1">IFERROR(__xludf.DUMMYFUNCTION("""COMPUTED_VALUE"""),"NT3")</f>
        <v>NT3</v>
      </c>
      <c r="U39" s="24" t="str">
        <f ca="1">IFERROR(__xludf.DUMMYFUNCTION("""COMPUTED_VALUE"""),"F")</f>
        <v>F</v>
      </c>
      <c r="V39" s="24">
        <f ca="1">IFERROR(__xludf.DUMMYFUNCTION("""COMPUTED_VALUE"""),2016)</f>
        <v>2016</v>
      </c>
      <c r="W39" s="25" t="str">
        <f ca="1">IFERROR(__xludf.DUMMYFUNCTION("""COMPUTED_VALUE"""),"A/P-Deorai, Tal-Pathardi, Dist-Ahmednagar")</f>
        <v>A/P-Deorai, Tal-Pathardi, Dist-Ahmednagar</v>
      </c>
      <c r="X39" s="24">
        <f ca="1">IFERROR(__xludf.DUMMYFUNCTION("""COMPUTED_VALUE"""),9420001973)</f>
        <v>9420001973</v>
      </c>
      <c r="Y39" s="24">
        <f ca="1">IFERROR(__xludf.DUMMYFUNCTION("""COMPUTED_VALUE"""),8975216491)</f>
        <v>8975216491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>
      <c r="A40" s="22">
        <v>35</v>
      </c>
      <c r="B40" s="27">
        <f ca="1">IFERROR(__xludf.DUMMYFUNCTION("""COMPUTED_VALUE"""),973)</f>
        <v>973</v>
      </c>
      <c r="C40" s="24" t="str">
        <f ca="1">IFERROR(__xludf.DUMMYFUNCTION("""COMPUTED_VALUE"""),"COMP")</f>
        <v>COMP</v>
      </c>
      <c r="D40" s="24" t="str">
        <f ca="1">IFERROR(__xludf.DUMMYFUNCTION("""COMPUTED_VALUE"""),"SE")</f>
        <v>SE</v>
      </c>
      <c r="E40" s="24" t="str">
        <f ca="1">IFERROR(__xludf.DUMMYFUNCTION("""COMPUTED_VALUE"""),"")</f>
        <v/>
      </c>
      <c r="F40" s="24">
        <f ca="1">IFERROR(__xludf.DUMMYFUNCTION("""COMPUTED_VALUE"""),1821052)</f>
        <v>1821052</v>
      </c>
      <c r="G40" s="24" t="str">
        <f ca="1">IFERROR(__xludf.DUMMYFUNCTION("""COMPUTED_VALUE"""),"Ms.")</f>
        <v>Ms.</v>
      </c>
      <c r="H40" s="25" t="str">
        <f ca="1">IFERROR(__xludf.DUMMYFUNCTION("""COMPUTED_VALUE"""),"Pawar Anita Sanjay")</f>
        <v>Pawar Anita Sanjay</v>
      </c>
      <c r="I40" s="24" t="str">
        <f ca="1">IFERROR(__xludf.DUMMYFUNCTION("""COMPUTED_VALUE"""),"")</f>
        <v/>
      </c>
      <c r="J40" s="25" t="str">
        <f ca="1">IFERROR(__xludf.DUMMYFUNCTION("""COMPUTED_VALUE"""),"Pawar")</f>
        <v>Pawar</v>
      </c>
      <c r="K40" s="25" t="str">
        <f ca="1">IFERROR(__xludf.DUMMYFUNCTION("""COMPUTED_VALUE"""),"Anita")</f>
        <v>Anita</v>
      </c>
      <c r="L40" s="25" t="str">
        <f ca="1">IFERROR(__xludf.DUMMYFUNCTION("""COMPUTED_VALUE"""),"Sanjay")</f>
        <v>Sanjay</v>
      </c>
      <c r="M40" s="25" t="str">
        <f ca="1">IFERROR(__xludf.DUMMYFUNCTION("""COMPUTED_VALUE"""),"Pawar Anita Sanjay")</f>
        <v>Pawar Anita Sanjay</v>
      </c>
      <c r="N40" s="25" t="str">
        <f ca="1">IFERROR(__xludf.DUMMYFUNCTION("""COMPUTED_VALUE"""),"Pawar Anita S.")</f>
        <v>Pawar Anita S.</v>
      </c>
      <c r="O40" s="25" t="str">
        <f ca="1">IFERROR(__xludf.DUMMYFUNCTION("""COMPUTED_VALUE"""),"Pawar A. S.")</f>
        <v>Pawar A. S.</v>
      </c>
      <c r="P40" s="24" t="str">
        <f ca="1">IFERROR(__xludf.DUMMYFUNCTION("""COMPUTED_VALUE"""),"REG")</f>
        <v>REG</v>
      </c>
      <c r="Q40" s="26" t="str">
        <f ca="1">IFERROR(__xludf.DUMMYFUNCTION("""COMPUTED_VALUE"""),"")</f>
        <v/>
      </c>
      <c r="R40" s="26" t="str">
        <f ca="1">IFERROR(__xludf.DUMMYFUNCTION("""COMPUTED_VALUE"""),"")</f>
        <v/>
      </c>
      <c r="S40" s="26" t="str">
        <f ca="1">IFERROR(__xludf.DUMMYFUNCTION("""COMPUTED_VALUE"""),"")</f>
        <v/>
      </c>
      <c r="T40" s="24" t="str">
        <f ca="1">IFERROR(__xludf.DUMMYFUNCTION("""COMPUTED_VALUE"""),"OBC")</f>
        <v>OBC</v>
      </c>
      <c r="U40" s="24" t="str">
        <f ca="1">IFERROR(__xludf.DUMMYFUNCTION("""COMPUTED_VALUE"""),"F")</f>
        <v>F</v>
      </c>
      <c r="V40" s="24">
        <f ca="1">IFERROR(__xludf.DUMMYFUNCTION("""COMPUTED_VALUE"""),2017)</f>
        <v>2017</v>
      </c>
      <c r="W40" s="25" t="str">
        <f ca="1">IFERROR(__xludf.DUMMYFUNCTION("""COMPUTED_VALUE"""),"Sainagar, Tandulwadi Road Baramati-413102")</f>
        <v>Sainagar, Tandulwadi Road Baramati-413102</v>
      </c>
      <c r="X40" s="24">
        <f ca="1">IFERROR(__xludf.DUMMYFUNCTION("""COMPUTED_VALUE"""),9960770920)</f>
        <v>9960770920</v>
      </c>
      <c r="Y40" s="24">
        <f ca="1">IFERROR(__xludf.DUMMYFUNCTION("""COMPUTED_VALUE"""),8605531713)</f>
        <v>8605531713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>
      <c r="A41" s="22">
        <v>36</v>
      </c>
      <c r="B41" s="27">
        <f ca="1">IFERROR(__xludf.DUMMYFUNCTION("""COMPUTED_VALUE"""),974)</f>
        <v>974</v>
      </c>
      <c r="C41" s="24" t="str">
        <f ca="1">IFERROR(__xludf.DUMMYFUNCTION("""COMPUTED_VALUE"""),"COMP")</f>
        <v>COMP</v>
      </c>
      <c r="D41" s="24" t="str">
        <f ca="1">IFERROR(__xludf.DUMMYFUNCTION("""COMPUTED_VALUE"""),"SE")</f>
        <v>SE</v>
      </c>
      <c r="E41" s="24" t="str">
        <f ca="1">IFERROR(__xludf.DUMMYFUNCTION("""COMPUTED_VALUE"""),"")</f>
        <v/>
      </c>
      <c r="F41" s="24">
        <f ca="1">IFERROR(__xludf.DUMMYFUNCTION("""COMPUTED_VALUE"""),1821053)</f>
        <v>1821053</v>
      </c>
      <c r="G41" s="24" t="str">
        <f ca="1">IFERROR(__xludf.DUMMYFUNCTION("""COMPUTED_VALUE"""),"Mr.")</f>
        <v>Mr.</v>
      </c>
      <c r="H41" s="25" t="str">
        <f ca="1">IFERROR(__xludf.DUMMYFUNCTION("""COMPUTED_VALUE"""),"Powar Suyash Rajaram")</f>
        <v>Powar Suyash Rajaram</v>
      </c>
      <c r="I41" s="24" t="str">
        <f ca="1">IFERROR(__xludf.DUMMYFUNCTION("""COMPUTED_VALUE"""),"")</f>
        <v/>
      </c>
      <c r="J41" s="25" t="str">
        <f ca="1">IFERROR(__xludf.DUMMYFUNCTION("""COMPUTED_VALUE"""),"Powar")</f>
        <v>Powar</v>
      </c>
      <c r="K41" s="25" t="str">
        <f ca="1">IFERROR(__xludf.DUMMYFUNCTION("""COMPUTED_VALUE"""),"Suyash")</f>
        <v>Suyash</v>
      </c>
      <c r="L41" s="25" t="str">
        <f ca="1">IFERROR(__xludf.DUMMYFUNCTION("""COMPUTED_VALUE"""),"Rajaram")</f>
        <v>Rajaram</v>
      </c>
      <c r="M41" s="25" t="str">
        <f ca="1">IFERROR(__xludf.DUMMYFUNCTION("""COMPUTED_VALUE"""),"Powar Suyash Rajaram")</f>
        <v>Powar Suyash Rajaram</v>
      </c>
      <c r="N41" s="25" t="str">
        <f ca="1">IFERROR(__xludf.DUMMYFUNCTION("""COMPUTED_VALUE"""),"Powar Suyash R.")</f>
        <v>Powar Suyash R.</v>
      </c>
      <c r="O41" s="25" t="str">
        <f ca="1">IFERROR(__xludf.DUMMYFUNCTION("""COMPUTED_VALUE"""),"Powar S. R.")</f>
        <v>Powar S. R.</v>
      </c>
      <c r="P41" s="24" t="str">
        <f ca="1">IFERROR(__xludf.DUMMYFUNCTION("""COMPUTED_VALUE"""),"REG")</f>
        <v>REG</v>
      </c>
      <c r="Q41" s="26" t="str">
        <f ca="1">IFERROR(__xludf.DUMMYFUNCTION("""COMPUTED_VALUE"""),"")</f>
        <v/>
      </c>
      <c r="R41" s="26" t="str">
        <f ca="1">IFERROR(__xludf.DUMMYFUNCTION("""COMPUTED_VALUE"""),"")</f>
        <v/>
      </c>
      <c r="S41" s="26" t="str">
        <f ca="1">IFERROR(__xludf.DUMMYFUNCTION("""COMPUTED_VALUE"""),"")</f>
        <v/>
      </c>
      <c r="T41" s="24" t="str">
        <f ca="1">IFERROR(__xludf.DUMMYFUNCTION("""COMPUTED_VALUE"""),"SC")</f>
        <v>SC</v>
      </c>
      <c r="U41" s="24" t="str">
        <f ca="1">IFERROR(__xludf.DUMMYFUNCTION("""COMPUTED_VALUE"""),"M")</f>
        <v>M</v>
      </c>
      <c r="V41" s="24">
        <f ca="1">IFERROR(__xludf.DUMMYFUNCTION("""COMPUTED_VALUE"""),2017)</f>
        <v>2017</v>
      </c>
      <c r="W41" s="25" t="str">
        <f ca="1">IFERROR(__xludf.DUMMYFUNCTION("""COMPUTED_VALUE"""),"Srujan Society, R-69/9, Midc, Baramati Dist Pune-413133")</f>
        <v>Srujan Society, R-69/9, Midc, Baramati Dist Pune-413133</v>
      </c>
      <c r="X41" s="24">
        <f ca="1">IFERROR(__xludf.DUMMYFUNCTION("""COMPUTED_VALUE"""),9970015641)</f>
        <v>9970015641</v>
      </c>
      <c r="Y41" s="24">
        <f ca="1">IFERROR(__xludf.DUMMYFUNCTION("""COMPUTED_VALUE"""),9561830339)</f>
        <v>9561830339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>
      <c r="A42" s="22">
        <v>37</v>
      </c>
      <c r="B42" s="27">
        <f ca="1">IFERROR(__xludf.DUMMYFUNCTION("""COMPUTED_VALUE"""),975)</f>
        <v>975</v>
      </c>
      <c r="C42" s="24" t="str">
        <f ca="1">IFERROR(__xludf.DUMMYFUNCTION("""COMPUTED_VALUE"""),"COMP")</f>
        <v>COMP</v>
      </c>
      <c r="D42" s="24" t="str">
        <f ca="1">IFERROR(__xludf.DUMMYFUNCTION("""COMPUTED_VALUE"""),"SE")</f>
        <v>SE</v>
      </c>
      <c r="E42" s="24" t="str">
        <f ca="1">IFERROR(__xludf.DUMMYFUNCTION("""COMPUTED_VALUE"""),"")</f>
        <v/>
      </c>
      <c r="F42" s="24">
        <f ca="1">IFERROR(__xludf.DUMMYFUNCTION("""COMPUTED_VALUE"""),1821054)</f>
        <v>1821054</v>
      </c>
      <c r="G42" s="24" t="str">
        <f ca="1">IFERROR(__xludf.DUMMYFUNCTION("""COMPUTED_VALUE"""),"Mr.")</f>
        <v>Mr.</v>
      </c>
      <c r="H42" s="25" t="str">
        <f ca="1">IFERROR(__xludf.DUMMYFUNCTION("""COMPUTED_VALUE"""),"Salvi Samuel Anil")</f>
        <v>Salvi Samuel Anil</v>
      </c>
      <c r="I42" s="24" t="str">
        <f ca="1">IFERROR(__xludf.DUMMYFUNCTION("""COMPUTED_VALUE"""),"")</f>
        <v/>
      </c>
      <c r="J42" s="25" t="str">
        <f ca="1">IFERROR(__xludf.DUMMYFUNCTION("""COMPUTED_VALUE"""),"Salvi")</f>
        <v>Salvi</v>
      </c>
      <c r="K42" s="25" t="str">
        <f ca="1">IFERROR(__xludf.DUMMYFUNCTION("""COMPUTED_VALUE"""),"Samuel")</f>
        <v>Samuel</v>
      </c>
      <c r="L42" s="25" t="str">
        <f ca="1">IFERROR(__xludf.DUMMYFUNCTION("""COMPUTED_VALUE"""),"Anil")</f>
        <v>Anil</v>
      </c>
      <c r="M42" s="25" t="str">
        <f ca="1">IFERROR(__xludf.DUMMYFUNCTION("""COMPUTED_VALUE"""),"Salvi Samuel Anil")</f>
        <v>Salvi Samuel Anil</v>
      </c>
      <c r="N42" s="25" t="str">
        <f ca="1">IFERROR(__xludf.DUMMYFUNCTION("""COMPUTED_VALUE"""),"Salvi Samuel A.")</f>
        <v>Salvi Samuel A.</v>
      </c>
      <c r="O42" s="25" t="str">
        <f ca="1">IFERROR(__xludf.DUMMYFUNCTION("""COMPUTED_VALUE"""),"Salvi S. A.")</f>
        <v>Salvi S. A.</v>
      </c>
      <c r="P42" s="24" t="str">
        <f ca="1">IFERROR(__xludf.DUMMYFUNCTION("""COMPUTED_VALUE"""),"REG")</f>
        <v>REG</v>
      </c>
      <c r="Q42" s="26" t="str">
        <f ca="1">IFERROR(__xludf.DUMMYFUNCTION("""COMPUTED_VALUE"""),"")</f>
        <v/>
      </c>
      <c r="R42" s="26" t="str">
        <f ca="1">IFERROR(__xludf.DUMMYFUNCTION("""COMPUTED_VALUE"""),"")</f>
        <v/>
      </c>
      <c r="S42" s="26" t="str">
        <f ca="1">IFERROR(__xludf.DUMMYFUNCTION("""COMPUTED_VALUE"""),"")</f>
        <v/>
      </c>
      <c r="T42" s="24" t="str">
        <f ca="1">IFERROR(__xludf.DUMMYFUNCTION("""COMPUTED_VALUE"""),"OPEN")</f>
        <v>OPEN</v>
      </c>
      <c r="U42" s="24" t="str">
        <f ca="1">IFERROR(__xludf.DUMMYFUNCTION("""COMPUTED_VALUE"""),"M")</f>
        <v>M</v>
      </c>
      <c r="V42" s="24">
        <f ca="1">IFERROR(__xludf.DUMMYFUNCTION("""COMPUTED_VALUE"""),2017)</f>
        <v>2017</v>
      </c>
      <c r="W42" s="25" t="str">
        <f ca="1">IFERROR(__xludf.DUMMYFUNCTION("""COMPUTED_VALUE"""),"Shangrila Garden, B6, Vivekanandnagar, Baramati Dist.Pune-413102")</f>
        <v>Shangrila Garden, B6, Vivekanandnagar, Baramati Dist.Pune-413102</v>
      </c>
      <c r="X42" s="24">
        <f ca="1">IFERROR(__xludf.DUMMYFUNCTION("""COMPUTED_VALUE"""),9764483290)</f>
        <v>9764483290</v>
      </c>
      <c r="Y42" s="24">
        <f ca="1">IFERROR(__xludf.DUMMYFUNCTION("""COMPUTED_VALUE"""),9764483290)</f>
        <v>9764483290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>
      <c r="A43" s="22">
        <v>38</v>
      </c>
      <c r="B43" s="27">
        <f ca="1">IFERROR(__xludf.DUMMYFUNCTION("""COMPUTED_VALUE"""),976)</f>
        <v>976</v>
      </c>
      <c r="C43" s="24" t="str">
        <f ca="1">IFERROR(__xludf.DUMMYFUNCTION("""COMPUTED_VALUE"""),"COMP")</f>
        <v>COMP</v>
      </c>
      <c r="D43" s="24" t="str">
        <f ca="1">IFERROR(__xludf.DUMMYFUNCTION("""COMPUTED_VALUE"""),"SE")</f>
        <v>SE</v>
      </c>
      <c r="E43" s="24" t="str">
        <f ca="1">IFERROR(__xludf.DUMMYFUNCTION("""COMPUTED_VALUE"""),"")</f>
        <v/>
      </c>
      <c r="F43" s="24">
        <f ca="1">IFERROR(__xludf.DUMMYFUNCTION("""COMPUTED_VALUE"""),1821055)</f>
        <v>1821055</v>
      </c>
      <c r="G43" s="24" t="str">
        <f ca="1">IFERROR(__xludf.DUMMYFUNCTION("""COMPUTED_VALUE"""),"Mr.")</f>
        <v>Mr.</v>
      </c>
      <c r="H43" s="25" t="str">
        <f ca="1">IFERROR(__xludf.DUMMYFUNCTION("""COMPUTED_VALUE"""),"Shewale Saurabh Shivaji")</f>
        <v>Shewale Saurabh Shivaji</v>
      </c>
      <c r="I43" s="24" t="str">
        <f ca="1">IFERROR(__xludf.DUMMYFUNCTION("""COMPUTED_VALUE"""),"")</f>
        <v/>
      </c>
      <c r="J43" s="25" t="str">
        <f ca="1">IFERROR(__xludf.DUMMYFUNCTION("""COMPUTED_VALUE"""),"Shewale")</f>
        <v>Shewale</v>
      </c>
      <c r="K43" s="25" t="str">
        <f ca="1">IFERROR(__xludf.DUMMYFUNCTION("""COMPUTED_VALUE"""),"Saurabh")</f>
        <v>Saurabh</v>
      </c>
      <c r="L43" s="25" t="str">
        <f ca="1">IFERROR(__xludf.DUMMYFUNCTION("""COMPUTED_VALUE"""),"Shivaji")</f>
        <v>Shivaji</v>
      </c>
      <c r="M43" s="25" t="str">
        <f ca="1">IFERROR(__xludf.DUMMYFUNCTION("""COMPUTED_VALUE"""),"Shewale Saurabh Shivaji")</f>
        <v>Shewale Saurabh Shivaji</v>
      </c>
      <c r="N43" s="25" t="str">
        <f ca="1">IFERROR(__xludf.DUMMYFUNCTION("""COMPUTED_VALUE"""),"Shewale Saurabh S.")</f>
        <v>Shewale Saurabh S.</v>
      </c>
      <c r="O43" s="25" t="str">
        <f ca="1">IFERROR(__xludf.DUMMYFUNCTION("""COMPUTED_VALUE"""),"Shewale S. S.")</f>
        <v>Shewale S. S.</v>
      </c>
      <c r="P43" s="24" t="str">
        <f ca="1">IFERROR(__xludf.DUMMYFUNCTION("""COMPUTED_VALUE"""),"REG")</f>
        <v>REG</v>
      </c>
      <c r="Q43" s="26" t="str">
        <f ca="1">IFERROR(__xludf.DUMMYFUNCTION("""COMPUTED_VALUE"""),"")</f>
        <v/>
      </c>
      <c r="R43" s="26" t="str">
        <f ca="1">IFERROR(__xludf.DUMMYFUNCTION("""COMPUTED_VALUE"""),"")</f>
        <v/>
      </c>
      <c r="S43" s="26" t="str">
        <f ca="1">IFERROR(__xludf.DUMMYFUNCTION("""COMPUTED_VALUE"""),"")</f>
        <v/>
      </c>
      <c r="T43" s="24" t="str">
        <f ca="1">IFERROR(__xludf.DUMMYFUNCTION("""COMPUTED_VALUE"""),"OBC")</f>
        <v>OBC</v>
      </c>
      <c r="U43" s="24" t="str">
        <f ca="1">IFERROR(__xludf.DUMMYFUNCTION("""COMPUTED_VALUE"""),"M")</f>
        <v>M</v>
      </c>
      <c r="V43" s="24">
        <f ca="1">IFERROR(__xludf.DUMMYFUNCTION("""COMPUTED_VALUE"""),2017)</f>
        <v>2017</v>
      </c>
      <c r="W43" s="25" t="str">
        <f ca="1">IFERROR(__xludf.DUMMYFUNCTION("""COMPUTED_VALUE"""),"Desai Estate, Jalochi, Baramati Dist Pune-413102")</f>
        <v>Desai Estate, Jalochi, Baramati Dist Pune-413102</v>
      </c>
      <c r="X43" s="24">
        <f ca="1">IFERROR(__xludf.DUMMYFUNCTION("""COMPUTED_VALUE"""),9089433784)</f>
        <v>9089433784</v>
      </c>
      <c r="Y43" s="24">
        <f ca="1">IFERROR(__xludf.DUMMYFUNCTION("""COMPUTED_VALUE"""),7249513194)</f>
        <v>7249513194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>
      <c r="A44" s="22">
        <v>39</v>
      </c>
      <c r="B44" s="27">
        <f ca="1">IFERROR(__xludf.DUMMYFUNCTION("""COMPUTED_VALUE"""),977)</f>
        <v>977</v>
      </c>
      <c r="C44" s="24" t="str">
        <f ca="1">IFERROR(__xludf.DUMMYFUNCTION("""COMPUTED_VALUE"""),"COMP")</f>
        <v>COMP</v>
      </c>
      <c r="D44" s="24" t="str">
        <f ca="1">IFERROR(__xludf.DUMMYFUNCTION("""COMPUTED_VALUE"""),"SE")</f>
        <v>SE</v>
      </c>
      <c r="E44" s="24" t="str">
        <f ca="1">IFERROR(__xludf.DUMMYFUNCTION("""COMPUTED_VALUE"""),"")</f>
        <v/>
      </c>
      <c r="F44" s="24">
        <f ca="1">IFERROR(__xludf.DUMMYFUNCTION("""COMPUTED_VALUE"""),1821056)</f>
        <v>1821056</v>
      </c>
      <c r="G44" s="24" t="str">
        <f ca="1">IFERROR(__xludf.DUMMYFUNCTION("""COMPUTED_VALUE"""),"Mr.")</f>
        <v>Mr.</v>
      </c>
      <c r="H44" s="25" t="str">
        <f ca="1">IFERROR(__xludf.DUMMYFUNCTION("""COMPUTED_VALUE"""),"Shinde Shubhankar Shripad")</f>
        <v>Shinde Shubhankar Shripad</v>
      </c>
      <c r="I44" s="24" t="str">
        <f ca="1">IFERROR(__xludf.DUMMYFUNCTION("""COMPUTED_VALUE"""),"")</f>
        <v/>
      </c>
      <c r="J44" s="25" t="str">
        <f ca="1">IFERROR(__xludf.DUMMYFUNCTION("""COMPUTED_VALUE"""),"Shinde")</f>
        <v>Shinde</v>
      </c>
      <c r="K44" s="25" t="str">
        <f ca="1">IFERROR(__xludf.DUMMYFUNCTION("""COMPUTED_VALUE"""),"Shubhankar")</f>
        <v>Shubhankar</v>
      </c>
      <c r="L44" s="25" t="str">
        <f ca="1">IFERROR(__xludf.DUMMYFUNCTION("""COMPUTED_VALUE"""),"Shripad")</f>
        <v>Shripad</v>
      </c>
      <c r="M44" s="25" t="str">
        <f ca="1">IFERROR(__xludf.DUMMYFUNCTION("""COMPUTED_VALUE"""),"Shinde Shubhankar Shripad")</f>
        <v>Shinde Shubhankar Shripad</v>
      </c>
      <c r="N44" s="25" t="str">
        <f ca="1">IFERROR(__xludf.DUMMYFUNCTION("""COMPUTED_VALUE"""),"Shinde Shubhankar S.")</f>
        <v>Shinde Shubhankar S.</v>
      </c>
      <c r="O44" s="25" t="str">
        <f ca="1">IFERROR(__xludf.DUMMYFUNCTION("""COMPUTED_VALUE"""),"Shinde S. S.")</f>
        <v>Shinde S. S.</v>
      </c>
      <c r="P44" s="24" t="str">
        <f ca="1">IFERROR(__xludf.DUMMYFUNCTION("""COMPUTED_VALUE"""),"REG")</f>
        <v>REG</v>
      </c>
      <c r="Q44" s="26" t="str">
        <f ca="1">IFERROR(__xludf.DUMMYFUNCTION("""COMPUTED_VALUE"""),"")</f>
        <v/>
      </c>
      <c r="R44" s="26" t="str">
        <f ca="1">IFERROR(__xludf.DUMMYFUNCTION("""COMPUTED_VALUE"""),"")</f>
        <v/>
      </c>
      <c r="S44" s="26" t="str">
        <f ca="1">IFERROR(__xludf.DUMMYFUNCTION("""COMPUTED_VALUE"""),"")</f>
        <v/>
      </c>
      <c r="T44" s="24" t="str">
        <f ca="1">IFERROR(__xludf.DUMMYFUNCTION("""COMPUTED_VALUE"""),"SC")</f>
        <v>SC</v>
      </c>
      <c r="U44" s="24" t="str">
        <f ca="1">IFERROR(__xludf.DUMMYFUNCTION("""COMPUTED_VALUE"""),"M")</f>
        <v>M</v>
      </c>
      <c r="V44" s="24">
        <f ca="1">IFERROR(__xludf.DUMMYFUNCTION("""COMPUTED_VALUE"""),2017)</f>
        <v>2017</v>
      </c>
      <c r="W44" s="25" t="str">
        <f ca="1">IFERROR(__xludf.DUMMYFUNCTION("""COMPUTED_VALUE"""),"Shripushp Building, Anjali Colony, Shahupuri, Satara-415002")</f>
        <v>Shripushp Building, Anjali Colony, Shahupuri, Satara-415002</v>
      </c>
      <c r="X44" s="24">
        <f ca="1">IFERROR(__xludf.DUMMYFUNCTION("""COMPUTED_VALUE"""),9890132082)</f>
        <v>9890132082</v>
      </c>
      <c r="Y44" s="24">
        <f ca="1">IFERROR(__xludf.DUMMYFUNCTION("""COMPUTED_VALUE"""),9049343465)</f>
        <v>9049343465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>
      <c r="A45" s="22">
        <v>40</v>
      </c>
      <c r="B45" s="27">
        <f ca="1">IFERROR(__xludf.DUMMYFUNCTION("""COMPUTED_VALUE"""),978)</f>
        <v>978</v>
      </c>
      <c r="C45" s="24" t="str">
        <f ca="1">IFERROR(__xludf.DUMMYFUNCTION("""COMPUTED_VALUE"""),"COMP")</f>
        <v>COMP</v>
      </c>
      <c r="D45" s="24" t="str">
        <f ca="1">IFERROR(__xludf.DUMMYFUNCTION("""COMPUTED_VALUE"""),"SE")</f>
        <v>SE</v>
      </c>
      <c r="E45" s="24" t="str">
        <f ca="1">IFERROR(__xludf.DUMMYFUNCTION("""COMPUTED_VALUE"""),"")</f>
        <v/>
      </c>
      <c r="F45" s="24">
        <f ca="1">IFERROR(__xludf.DUMMYFUNCTION("""COMPUTED_VALUE"""),1821057)</f>
        <v>1821057</v>
      </c>
      <c r="G45" s="24" t="str">
        <f ca="1">IFERROR(__xludf.DUMMYFUNCTION("""COMPUTED_VALUE"""),"Ms.")</f>
        <v>Ms.</v>
      </c>
      <c r="H45" s="25" t="str">
        <f ca="1">IFERROR(__xludf.DUMMYFUNCTION("""COMPUTED_VALUE"""),"Shingavi Anjali Anand")</f>
        <v>Shingavi Anjali Anand</v>
      </c>
      <c r="I45" s="24" t="str">
        <f ca="1">IFERROR(__xludf.DUMMYFUNCTION("""COMPUTED_VALUE"""),"")</f>
        <v/>
      </c>
      <c r="J45" s="25" t="str">
        <f ca="1">IFERROR(__xludf.DUMMYFUNCTION("""COMPUTED_VALUE"""),"Shingavi")</f>
        <v>Shingavi</v>
      </c>
      <c r="K45" s="25" t="str">
        <f ca="1">IFERROR(__xludf.DUMMYFUNCTION("""COMPUTED_VALUE"""),"Anjali")</f>
        <v>Anjali</v>
      </c>
      <c r="L45" s="25" t="str">
        <f ca="1">IFERROR(__xludf.DUMMYFUNCTION("""COMPUTED_VALUE"""),"Anand")</f>
        <v>Anand</v>
      </c>
      <c r="M45" s="25" t="str">
        <f ca="1">IFERROR(__xludf.DUMMYFUNCTION("""COMPUTED_VALUE"""),"Shingavi Anjali Anand")</f>
        <v>Shingavi Anjali Anand</v>
      </c>
      <c r="N45" s="25" t="str">
        <f ca="1">IFERROR(__xludf.DUMMYFUNCTION("""COMPUTED_VALUE"""),"Shingavi Anjali A.")</f>
        <v>Shingavi Anjali A.</v>
      </c>
      <c r="O45" s="25" t="str">
        <f ca="1">IFERROR(__xludf.DUMMYFUNCTION("""COMPUTED_VALUE"""),"Shingavi A. A.")</f>
        <v>Shingavi A. A.</v>
      </c>
      <c r="P45" s="24" t="str">
        <f ca="1">IFERROR(__xludf.DUMMYFUNCTION("""COMPUTED_VALUE"""),"REG")</f>
        <v>REG</v>
      </c>
      <c r="Q45" s="26" t="str">
        <f ca="1">IFERROR(__xludf.DUMMYFUNCTION("""COMPUTED_VALUE"""),"")</f>
        <v/>
      </c>
      <c r="R45" s="26" t="str">
        <f ca="1">IFERROR(__xludf.DUMMYFUNCTION("""COMPUTED_VALUE"""),"")</f>
        <v/>
      </c>
      <c r="S45" s="26" t="str">
        <f ca="1">IFERROR(__xludf.DUMMYFUNCTION("""COMPUTED_VALUE"""),"")</f>
        <v/>
      </c>
      <c r="T45" s="24" t="str">
        <f ca="1">IFERROR(__xludf.DUMMYFUNCTION("""COMPUTED_VALUE"""),"OPEN")</f>
        <v>OPEN</v>
      </c>
      <c r="U45" s="24" t="str">
        <f ca="1">IFERROR(__xludf.DUMMYFUNCTION("""COMPUTED_VALUE"""),"F")</f>
        <v>F</v>
      </c>
      <c r="V45" s="24">
        <f ca="1">IFERROR(__xludf.DUMMYFUNCTION("""COMPUTED_VALUE"""),2017)</f>
        <v>2017</v>
      </c>
      <c r="W45" s="25" t="str">
        <f ca="1">IFERROR(__xludf.DUMMYFUNCTION("""COMPUTED_VALUE"""),"A.P. Kada Tal.Ashti Dist. Beed-414202")</f>
        <v>A.P. Kada Tal.Ashti Dist. Beed-414202</v>
      </c>
      <c r="X45" s="24">
        <f ca="1">IFERROR(__xludf.DUMMYFUNCTION("""COMPUTED_VALUE"""),9421921251)</f>
        <v>9421921251</v>
      </c>
      <c r="Y45" s="24">
        <f ca="1">IFERROR(__xludf.DUMMYFUNCTION("""COMPUTED_VALUE"""),9156649806)</f>
        <v>9156649806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>
      <c r="A46" s="22">
        <v>41</v>
      </c>
      <c r="B46" s="27">
        <f ca="1">IFERROR(__xludf.DUMMYFUNCTION("""COMPUTED_VALUE"""),979)</f>
        <v>979</v>
      </c>
      <c r="C46" s="24" t="str">
        <f ca="1">IFERROR(__xludf.DUMMYFUNCTION("""COMPUTED_VALUE"""),"COMP")</f>
        <v>COMP</v>
      </c>
      <c r="D46" s="24" t="str">
        <f ca="1">IFERROR(__xludf.DUMMYFUNCTION("""COMPUTED_VALUE"""),"SE")</f>
        <v>SE</v>
      </c>
      <c r="E46" s="24" t="str">
        <f ca="1">IFERROR(__xludf.DUMMYFUNCTION("""COMPUTED_VALUE"""),"")</f>
        <v/>
      </c>
      <c r="F46" s="24">
        <f ca="1">IFERROR(__xludf.DUMMYFUNCTION("""COMPUTED_VALUE"""),1821058)</f>
        <v>1821058</v>
      </c>
      <c r="G46" s="24" t="str">
        <f ca="1">IFERROR(__xludf.DUMMYFUNCTION("""COMPUTED_VALUE"""),"Ms.")</f>
        <v>Ms.</v>
      </c>
      <c r="H46" s="25" t="str">
        <f ca="1">IFERROR(__xludf.DUMMYFUNCTION("""COMPUTED_VALUE"""),"Sonawane Priti Vilas")</f>
        <v>Sonawane Priti Vilas</v>
      </c>
      <c r="I46" s="24" t="str">
        <f ca="1">IFERROR(__xludf.DUMMYFUNCTION("""COMPUTED_VALUE"""),"")</f>
        <v/>
      </c>
      <c r="J46" s="25" t="str">
        <f ca="1">IFERROR(__xludf.DUMMYFUNCTION("""COMPUTED_VALUE"""),"Sonawane")</f>
        <v>Sonawane</v>
      </c>
      <c r="K46" s="25" t="str">
        <f ca="1">IFERROR(__xludf.DUMMYFUNCTION("""COMPUTED_VALUE"""),"Priti")</f>
        <v>Priti</v>
      </c>
      <c r="L46" s="25" t="str">
        <f ca="1">IFERROR(__xludf.DUMMYFUNCTION("""COMPUTED_VALUE"""),"Vilas")</f>
        <v>Vilas</v>
      </c>
      <c r="M46" s="25" t="str">
        <f ca="1">IFERROR(__xludf.DUMMYFUNCTION("""COMPUTED_VALUE"""),"Sonawane Priti Vilas")</f>
        <v>Sonawane Priti Vilas</v>
      </c>
      <c r="N46" s="25" t="str">
        <f ca="1">IFERROR(__xludf.DUMMYFUNCTION("""COMPUTED_VALUE"""),"Sonawane Priti V.")</f>
        <v>Sonawane Priti V.</v>
      </c>
      <c r="O46" s="25" t="str">
        <f ca="1">IFERROR(__xludf.DUMMYFUNCTION("""COMPUTED_VALUE"""),"Sonawane P. V.")</f>
        <v>Sonawane P. V.</v>
      </c>
      <c r="P46" s="24" t="str">
        <f ca="1">IFERROR(__xludf.DUMMYFUNCTION("""COMPUTED_VALUE"""),"REG")</f>
        <v>REG</v>
      </c>
      <c r="Q46" s="26" t="str">
        <f ca="1">IFERROR(__xludf.DUMMYFUNCTION("""COMPUTED_VALUE"""),"")</f>
        <v/>
      </c>
      <c r="R46" s="26" t="str">
        <f ca="1">IFERROR(__xludf.DUMMYFUNCTION("""COMPUTED_VALUE"""),"")</f>
        <v/>
      </c>
      <c r="S46" s="26" t="str">
        <f ca="1">IFERROR(__xludf.DUMMYFUNCTION("""COMPUTED_VALUE"""),"")</f>
        <v/>
      </c>
      <c r="T46" s="24" t="str">
        <f ca="1">IFERROR(__xludf.DUMMYFUNCTION("""COMPUTED_VALUE"""),"SC")</f>
        <v>SC</v>
      </c>
      <c r="U46" s="24" t="str">
        <f ca="1">IFERROR(__xludf.DUMMYFUNCTION("""COMPUTED_VALUE"""),"F")</f>
        <v>F</v>
      </c>
      <c r="V46" s="24">
        <f ca="1">IFERROR(__xludf.DUMMYFUNCTION("""COMPUTED_VALUE"""),2017)</f>
        <v>2017</v>
      </c>
      <c r="W46" s="25" t="str">
        <f ca="1">IFERROR(__xludf.DUMMYFUNCTION("""COMPUTED_VALUE"""),"Shahunagar, Idapur Road Baramati Dst Pune-413102")</f>
        <v>Shahunagar, Idapur Road Baramati Dst Pune-413102</v>
      </c>
      <c r="X46" s="24">
        <f ca="1">IFERROR(__xludf.DUMMYFUNCTION("""COMPUTED_VALUE"""),7709757844)</f>
        <v>7709757844</v>
      </c>
      <c r="Y46" s="24">
        <f ca="1">IFERROR(__xludf.DUMMYFUNCTION("""COMPUTED_VALUE"""),9970686884)</f>
        <v>9970686884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>
      <c r="A47" s="22">
        <v>42</v>
      </c>
      <c r="B47" s="27">
        <f ca="1">IFERROR(__xludf.DUMMYFUNCTION("""COMPUTED_VALUE"""),980)</f>
        <v>980</v>
      </c>
      <c r="C47" s="24" t="str">
        <f ca="1">IFERROR(__xludf.DUMMYFUNCTION("""COMPUTED_VALUE"""),"COMP")</f>
        <v>COMP</v>
      </c>
      <c r="D47" s="24" t="str">
        <f ca="1">IFERROR(__xludf.DUMMYFUNCTION("""COMPUTED_VALUE"""),"SE")</f>
        <v>SE</v>
      </c>
      <c r="E47" s="24" t="str">
        <f ca="1">IFERROR(__xludf.DUMMYFUNCTION("""COMPUTED_VALUE"""),"")</f>
        <v/>
      </c>
      <c r="F47" s="24">
        <f ca="1">IFERROR(__xludf.DUMMYFUNCTION("""COMPUTED_VALUE"""),1821060)</f>
        <v>1821060</v>
      </c>
      <c r="G47" s="24" t="str">
        <f ca="1">IFERROR(__xludf.DUMMYFUNCTION("""COMPUTED_VALUE"""),"Ms.")</f>
        <v>Ms.</v>
      </c>
      <c r="H47" s="25" t="str">
        <f ca="1">IFERROR(__xludf.DUMMYFUNCTION("""COMPUTED_VALUE"""),"Suryawanshi Vaishnavi Tanaji")</f>
        <v>Suryawanshi Vaishnavi Tanaji</v>
      </c>
      <c r="I47" s="24" t="str">
        <f ca="1">IFERROR(__xludf.DUMMYFUNCTION("""COMPUTED_VALUE"""),"")</f>
        <v/>
      </c>
      <c r="J47" s="25" t="str">
        <f ca="1">IFERROR(__xludf.DUMMYFUNCTION("""COMPUTED_VALUE"""),"Suryawanshi")</f>
        <v>Suryawanshi</v>
      </c>
      <c r="K47" s="25" t="str">
        <f ca="1">IFERROR(__xludf.DUMMYFUNCTION("""COMPUTED_VALUE"""),"Vaishnavi")</f>
        <v>Vaishnavi</v>
      </c>
      <c r="L47" s="25" t="str">
        <f ca="1">IFERROR(__xludf.DUMMYFUNCTION("""COMPUTED_VALUE"""),"Tanaji")</f>
        <v>Tanaji</v>
      </c>
      <c r="M47" s="25" t="str">
        <f ca="1">IFERROR(__xludf.DUMMYFUNCTION("""COMPUTED_VALUE"""),"Suryawanshi Vaishnavi Tanaji")</f>
        <v>Suryawanshi Vaishnavi Tanaji</v>
      </c>
      <c r="N47" s="25" t="str">
        <f ca="1">IFERROR(__xludf.DUMMYFUNCTION("""COMPUTED_VALUE"""),"Suryawanshi Vaishnavi T.")</f>
        <v>Suryawanshi Vaishnavi T.</v>
      </c>
      <c r="O47" s="25" t="str">
        <f ca="1">IFERROR(__xludf.DUMMYFUNCTION("""COMPUTED_VALUE"""),"Suryawanshi V. T.")</f>
        <v>Suryawanshi V. T.</v>
      </c>
      <c r="P47" s="24" t="str">
        <f ca="1">IFERROR(__xludf.DUMMYFUNCTION("""COMPUTED_VALUE"""),"REG")</f>
        <v>REG</v>
      </c>
      <c r="Q47" s="26" t="str">
        <f ca="1">IFERROR(__xludf.DUMMYFUNCTION("""COMPUTED_VALUE"""),"")</f>
        <v/>
      </c>
      <c r="R47" s="26" t="str">
        <f ca="1">IFERROR(__xludf.DUMMYFUNCTION("""COMPUTED_VALUE"""),"")</f>
        <v/>
      </c>
      <c r="S47" s="26" t="str">
        <f ca="1">IFERROR(__xludf.DUMMYFUNCTION("""COMPUTED_VALUE"""),"")</f>
        <v/>
      </c>
      <c r="T47" s="24" t="str">
        <f ca="1">IFERROR(__xludf.DUMMYFUNCTION("""COMPUTED_VALUE"""),"OPEN")</f>
        <v>OPEN</v>
      </c>
      <c r="U47" s="24" t="str">
        <f ca="1">IFERROR(__xludf.DUMMYFUNCTION("""COMPUTED_VALUE"""),"F")</f>
        <v>F</v>
      </c>
      <c r="V47" s="24">
        <f ca="1">IFERROR(__xludf.DUMMYFUNCTION("""COMPUTED_VALUE"""),2017)</f>
        <v>2017</v>
      </c>
      <c r="W47" s="25" t="str">
        <f ca="1">IFERROR(__xludf.DUMMYFUNCTION("""COMPUTED_VALUE"""),"Tal-Nilanga Dist-Latur-413521, M-9158259109")</f>
        <v>Tal-Nilanga Dist-Latur-413521, M-9158259109</v>
      </c>
      <c r="X47" s="24">
        <f ca="1">IFERROR(__xludf.DUMMYFUNCTION("""COMPUTED_VALUE"""),9158259109)</f>
        <v>9158259109</v>
      </c>
      <c r="Y47" s="24">
        <f ca="1">IFERROR(__xludf.DUMMYFUNCTION("""COMPUTED_VALUE"""),7559228924)</f>
        <v>7559228924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>
      <c r="A48" s="22">
        <v>43</v>
      </c>
      <c r="B48" s="27">
        <f ca="1">IFERROR(__xludf.DUMMYFUNCTION("""COMPUTED_VALUE"""),981)</f>
        <v>981</v>
      </c>
      <c r="C48" s="24" t="str">
        <f ca="1">IFERROR(__xludf.DUMMYFUNCTION("""COMPUTED_VALUE"""),"COMP")</f>
        <v>COMP</v>
      </c>
      <c r="D48" s="24" t="str">
        <f ca="1">IFERROR(__xludf.DUMMYFUNCTION("""COMPUTED_VALUE"""),"SE")</f>
        <v>SE</v>
      </c>
      <c r="E48" s="24" t="str">
        <f ca="1">IFERROR(__xludf.DUMMYFUNCTION("""COMPUTED_VALUE"""),"")</f>
        <v/>
      </c>
      <c r="F48" s="24">
        <f ca="1">IFERROR(__xludf.DUMMYFUNCTION("""COMPUTED_VALUE"""),1821062)</f>
        <v>1821062</v>
      </c>
      <c r="G48" s="24" t="str">
        <f ca="1">IFERROR(__xludf.DUMMYFUNCTION("""COMPUTED_VALUE"""),"Mr.")</f>
        <v>Mr.</v>
      </c>
      <c r="H48" s="25" t="str">
        <f ca="1">IFERROR(__xludf.DUMMYFUNCTION("""COMPUTED_VALUE"""),"Taware Chinmay Pradip")</f>
        <v>Taware Chinmay Pradip</v>
      </c>
      <c r="I48" s="24" t="str">
        <f ca="1">IFERROR(__xludf.DUMMYFUNCTION("""COMPUTED_VALUE"""),"")</f>
        <v/>
      </c>
      <c r="J48" s="25" t="str">
        <f ca="1">IFERROR(__xludf.DUMMYFUNCTION("""COMPUTED_VALUE"""),"Taware")</f>
        <v>Taware</v>
      </c>
      <c r="K48" s="25" t="str">
        <f ca="1">IFERROR(__xludf.DUMMYFUNCTION("""COMPUTED_VALUE"""),"Chinmay")</f>
        <v>Chinmay</v>
      </c>
      <c r="L48" s="25" t="str">
        <f ca="1">IFERROR(__xludf.DUMMYFUNCTION("""COMPUTED_VALUE"""),"Pradip")</f>
        <v>Pradip</v>
      </c>
      <c r="M48" s="25" t="str">
        <f ca="1">IFERROR(__xludf.DUMMYFUNCTION("""COMPUTED_VALUE"""),"Taware Chinmay Pradip")</f>
        <v>Taware Chinmay Pradip</v>
      </c>
      <c r="N48" s="25" t="str">
        <f ca="1">IFERROR(__xludf.DUMMYFUNCTION("""COMPUTED_VALUE"""),"Taware Chinmay P.")</f>
        <v>Taware Chinmay P.</v>
      </c>
      <c r="O48" s="25" t="str">
        <f ca="1">IFERROR(__xludf.DUMMYFUNCTION("""COMPUTED_VALUE"""),"Taware C. P.")</f>
        <v>Taware C. P.</v>
      </c>
      <c r="P48" s="24" t="str">
        <f ca="1">IFERROR(__xludf.DUMMYFUNCTION("""COMPUTED_VALUE"""),"REG")</f>
        <v>REG</v>
      </c>
      <c r="Q48" s="26" t="str">
        <f ca="1">IFERROR(__xludf.DUMMYFUNCTION("""COMPUTED_VALUE"""),"")</f>
        <v/>
      </c>
      <c r="R48" s="26" t="str">
        <f ca="1">IFERROR(__xludf.DUMMYFUNCTION("""COMPUTED_VALUE"""),"")</f>
        <v/>
      </c>
      <c r="S48" s="26" t="str">
        <f ca="1">IFERROR(__xludf.DUMMYFUNCTION("""COMPUTED_VALUE"""),"")</f>
        <v/>
      </c>
      <c r="T48" s="24" t="str">
        <f ca="1">IFERROR(__xludf.DUMMYFUNCTION("""COMPUTED_VALUE"""),"OPEN")</f>
        <v>OPEN</v>
      </c>
      <c r="U48" s="24" t="str">
        <f ca="1">IFERROR(__xludf.DUMMYFUNCTION("""COMPUTED_VALUE"""),"M")</f>
        <v>M</v>
      </c>
      <c r="V48" s="24">
        <f ca="1">IFERROR(__xludf.DUMMYFUNCTION("""COMPUTED_VALUE"""),2017)</f>
        <v>2017</v>
      </c>
      <c r="W48" s="25" t="str">
        <f ca="1">IFERROR(__xludf.DUMMYFUNCTION("""COMPUTED_VALUE"""),"A.P. Sambhajinagar Malegaon Bk, Tal. Baramati Dist Pune-413115")</f>
        <v>A.P. Sambhajinagar Malegaon Bk, Tal. Baramati Dist Pune-413115</v>
      </c>
      <c r="X48" s="24">
        <f ca="1">IFERROR(__xludf.DUMMYFUNCTION("""COMPUTED_VALUE"""),9527458474)</f>
        <v>9527458474</v>
      </c>
      <c r="Y48" s="24">
        <f ca="1">IFERROR(__xludf.DUMMYFUNCTION("""COMPUTED_VALUE"""),9767737700)</f>
        <v>9767737700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>
      <c r="A49" s="22">
        <v>44</v>
      </c>
      <c r="B49" s="27">
        <f ca="1">IFERROR(__xludf.DUMMYFUNCTION("""COMPUTED_VALUE"""),982)</f>
        <v>982</v>
      </c>
      <c r="C49" s="24" t="str">
        <f ca="1">IFERROR(__xludf.DUMMYFUNCTION("""COMPUTED_VALUE"""),"COMP")</f>
        <v>COMP</v>
      </c>
      <c r="D49" s="24" t="str">
        <f ca="1">IFERROR(__xludf.DUMMYFUNCTION("""COMPUTED_VALUE"""),"SE")</f>
        <v>SE</v>
      </c>
      <c r="E49" s="24" t="str">
        <f ca="1">IFERROR(__xludf.DUMMYFUNCTION("""COMPUTED_VALUE"""),"")</f>
        <v/>
      </c>
      <c r="F49" s="24">
        <f ca="1">IFERROR(__xludf.DUMMYFUNCTION("""COMPUTED_VALUE"""),1821063)</f>
        <v>1821063</v>
      </c>
      <c r="G49" s="24" t="str">
        <f ca="1">IFERROR(__xludf.DUMMYFUNCTION("""COMPUTED_VALUE"""),"Ms.")</f>
        <v>Ms.</v>
      </c>
      <c r="H49" s="25" t="str">
        <f ca="1">IFERROR(__xludf.DUMMYFUNCTION("""COMPUTED_VALUE"""),"Taware Shreya Pravin")</f>
        <v>Taware Shreya Pravin</v>
      </c>
      <c r="I49" s="24" t="str">
        <f ca="1">IFERROR(__xludf.DUMMYFUNCTION("""COMPUTED_VALUE"""),"")</f>
        <v/>
      </c>
      <c r="J49" s="25" t="str">
        <f ca="1">IFERROR(__xludf.DUMMYFUNCTION("""COMPUTED_VALUE"""),"Taware")</f>
        <v>Taware</v>
      </c>
      <c r="K49" s="25" t="str">
        <f ca="1">IFERROR(__xludf.DUMMYFUNCTION("""COMPUTED_VALUE"""),"Shreya")</f>
        <v>Shreya</v>
      </c>
      <c r="L49" s="25" t="str">
        <f ca="1">IFERROR(__xludf.DUMMYFUNCTION("""COMPUTED_VALUE"""),"Pravin")</f>
        <v>Pravin</v>
      </c>
      <c r="M49" s="25" t="str">
        <f ca="1">IFERROR(__xludf.DUMMYFUNCTION("""COMPUTED_VALUE"""),"Taware Shreya Pravin")</f>
        <v>Taware Shreya Pravin</v>
      </c>
      <c r="N49" s="25" t="str">
        <f ca="1">IFERROR(__xludf.DUMMYFUNCTION("""COMPUTED_VALUE"""),"Taware Shreya P.")</f>
        <v>Taware Shreya P.</v>
      </c>
      <c r="O49" s="25" t="str">
        <f ca="1">IFERROR(__xludf.DUMMYFUNCTION("""COMPUTED_VALUE"""),"Taware S. P.")</f>
        <v>Taware S. P.</v>
      </c>
      <c r="P49" s="24" t="str">
        <f ca="1">IFERROR(__xludf.DUMMYFUNCTION("""COMPUTED_VALUE"""),"REG")</f>
        <v>REG</v>
      </c>
      <c r="Q49" s="26" t="str">
        <f ca="1">IFERROR(__xludf.DUMMYFUNCTION("""COMPUTED_VALUE"""),"")</f>
        <v/>
      </c>
      <c r="R49" s="26" t="str">
        <f ca="1">IFERROR(__xludf.DUMMYFUNCTION("""COMPUTED_VALUE"""),"")</f>
        <v/>
      </c>
      <c r="S49" s="26" t="str">
        <f ca="1">IFERROR(__xludf.DUMMYFUNCTION("""COMPUTED_VALUE"""),"")</f>
        <v/>
      </c>
      <c r="T49" s="24" t="str">
        <f ca="1">IFERROR(__xludf.DUMMYFUNCTION("""COMPUTED_VALUE"""),"OPEN")</f>
        <v>OPEN</v>
      </c>
      <c r="U49" s="24" t="str">
        <f ca="1">IFERROR(__xludf.DUMMYFUNCTION("""COMPUTED_VALUE"""),"F")</f>
        <v>F</v>
      </c>
      <c r="V49" s="24">
        <f ca="1">IFERROR(__xludf.DUMMYFUNCTION("""COMPUTED_VALUE"""),2017)</f>
        <v>2017</v>
      </c>
      <c r="W49" s="25" t="str">
        <f ca="1">IFERROR(__xludf.DUMMYFUNCTION("""COMPUTED_VALUE"""),"Rh. No.08, Green Park Rui, Tal Baramati Dist Pune-413133")</f>
        <v>Rh. No.08, Green Park Rui, Tal Baramati Dist Pune-413133</v>
      </c>
      <c r="X49" s="24">
        <f ca="1">IFERROR(__xludf.DUMMYFUNCTION("""COMPUTED_VALUE"""),9766123953)</f>
        <v>9766123953</v>
      </c>
      <c r="Y49" s="24">
        <f ca="1">IFERROR(__xludf.DUMMYFUNCTION("""COMPUTED_VALUE"""),7745829429)</f>
        <v>7745829429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>
      <c r="A50" s="22">
        <v>45</v>
      </c>
      <c r="B50" s="27">
        <f ca="1">IFERROR(__xludf.DUMMYFUNCTION("""COMPUTED_VALUE"""),983)</f>
        <v>983</v>
      </c>
      <c r="C50" s="24" t="str">
        <f ca="1">IFERROR(__xludf.DUMMYFUNCTION("""COMPUTED_VALUE"""),"COMP")</f>
        <v>COMP</v>
      </c>
      <c r="D50" s="24" t="str">
        <f ca="1">IFERROR(__xludf.DUMMYFUNCTION("""COMPUTED_VALUE"""),"SE")</f>
        <v>SE</v>
      </c>
      <c r="E50" s="24" t="str">
        <f ca="1">IFERROR(__xludf.DUMMYFUNCTION("""COMPUTED_VALUE"""),"")</f>
        <v/>
      </c>
      <c r="F50" s="24">
        <f ca="1">IFERROR(__xludf.DUMMYFUNCTION("""COMPUTED_VALUE"""),1821064)</f>
        <v>1821064</v>
      </c>
      <c r="G50" s="24" t="str">
        <f ca="1">IFERROR(__xludf.DUMMYFUNCTION("""COMPUTED_VALUE"""),"Ms.")</f>
        <v>Ms.</v>
      </c>
      <c r="H50" s="25" t="str">
        <f ca="1">IFERROR(__xludf.DUMMYFUNCTION("""COMPUTED_VALUE"""),"Tilekar Pooja Santram")</f>
        <v>Tilekar Pooja Santram</v>
      </c>
      <c r="I50" s="24" t="str">
        <f ca="1">IFERROR(__xludf.DUMMYFUNCTION("""COMPUTED_VALUE"""),"")</f>
        <v/>
      </c>
      <c r="J50" s="25" t="str">
        <f ca="1">IFERROR(__xludf.DUMMYFUNCTION("""COMPUTED_VALUE"""),"Tilekar")</f>
        <v>Tilekar</v>
      </c>
      <c r="K50" s="25" t="str">
        <f ca="1">IFERROR(__xludf.DUMMYFUNCTION("""COMPUTED_VALUE"""),"Pooja")</f>
        <v>Pooja</v>
      </c>
      <c r="L50" s="25" t="str">
        <f ca="1">IFERROR(__xludf.DUMMYFUNCTION("""COMPUTED_VALUE"""),"Santram")</f>
        <v>Santram</v>
      </c>
      <c r="M50" s="25" t="str">
        <f ca="1">IFERROR(__xludf.DUMMYFUNCTION("""COMPUTED_VALUE"""),"Tilekar Pooja Santram")</f>
        <v>Tilekar Pooja Santram</v>
      </c>
      <c r="N50" s="25" t="str">
        <f ca="1">IFERROR(__xludf.DUMMYFUNCTION("""COMPUTED_VALUE"""),"Tilekar Pooja S.")</f>
        <v>Tilekar Pooja S.</v>
      </c>
      <c r="O50" s="25" t="str">
        <f ca="1">IFERROR(__xludf.DUMMYFUNCTION("""COMPUTED_VALUE"""),"Tilekar P. S.")</f>
        <v>Tilekar P. S.</v>
      </c>
      <c r="P50" s="24" t="str">
        <f ca="1">IFERROR(__xludf.DUMMYFUNCTION("""COMPUTED_VALUE"""),"REG")</f>
        <v>REG</v>
      </c>
      <c r="Q50" s="26" t="str">
        <f ca="1">IFERROR(__xludf.DUMMYFUNCTION("""COMPUTED_VALUE"""),"")</f>
        <v/>
      </c>
      <c r="R50" s="26" t="str">
        <f ca="1">IFERROR(__xludf.DUMMYFUNCTION("""COMPUTED_VALUE"""),"")</f>
        <v/>
      </c>
      <c r="S50" s="26" t="str">
        <f ca="1">IFERROR(__xludf.DUMMYFUNCTION("""COMPUTED_VALUE"""),"")</f>
        <v/>
      </c>
      <c r="T50" s="24" t="str">
        <f ca="1">IFERROR(__xludf.DUMMYFUNCTION("""COMPUTED_VALUE"""),"OBC")</f>
        <v>OBC</v>
      </c>
      <c r="U50" s="24" t="str">
        <f ca="1">IFERROR(__xludf.DUMMYFUNCTION("""COMPUTED_VALUE"""),"F")</f>
        <v>F</v>
      </c>
      <c r="V50" s="24">
        <f ca="1">IFERROR(__xludf.DUMMYFUNCTION("""COMPUTED_VALUE"""),2017)</f>
        <v>2017</v>
      </c>
      <c r="W50" s="25" t="str">
        <f ca="1">IFERROR(__xludf.DUMMYFUNCTION("""COMPUTED_VALUE"""),"At Khatakevasti Post Gokhali Tal Phaltan Dist Satara-415523")</f>
        <v>At Khatakevasti Post Gokhali Tal Phaltan Dist Satara-415523</v>
      </c>
      <c r="X50" s="24">
        <f ca="1">IFERROR(__xludf.DUMMYFUNCTION("""COMPUTED_VALUE"""),9767560791)</f>
        <v>9767560791</v>
      </c>
      <c r="Y50" s="24">
        <f ca="1">IFERROR(__xludf.DUMMYFUNCTION("""COMPUTED_VALUE"""),9767560791)</f>
        <v>9767560791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>
      <c r="A51" s="22">
        <v>46</v>
      </c>
      <c r="B51" s="27">
        <f ca="1">IFERROR(__xludf.DUMMYFUNCTION("""COMPUTED_VALUE"""),984)</f>
        <v>984</v>
      </c>
      <c r="C51" s="24" t="str">
        <f ca="1">IFERROR(__xludf.DUMMYFUNCTION("""COMPUTED_VALUE"""),"COMP")</f>
        <v>COMP</v>
      </c>
      <c r="D51" s="24" t="str">
        <f ca="1">IFERROR(__xludf.DUMMYFUNCTION("""COMPUTED_VALUE"""),"SE")</f>
        <v>SE</v>
      </c>
      <c r="E51" s="24" t="str">
        <f ca="1">IFERROR(__xludf.DUMMYFUNCTION("""COMPUTED_VALUE"""),"")</f>
        <v/>
      </c>
      <c r="F51" s="24">
        <f ca="1">IFERROR(__xludf.DUMMYFUNCTION("""COMPUTED_VALUE"""),1821065)</f>
        <v>1821065</v>
      </c>
      <c r="G51" s="24" t="str">
        <f ca="1">IFERROR(__xludf.DUMMYFUNCTION("""COMPUTED_VALUE"""),"Ms.")</f>
        <v>Ms.</v>
      </c>
      <c r="H51" s="25" t="str">
        <f ca="1">IFERROR(__xludf.DUMMYFUNCTION("""COMPUTED_VALUE"""),"Vaidya Ishwari Sunildatta")</f>
        <v>Vaidya Ishwari Sunildatta</v>
      </c>
      <c r="I51" s="24" t="str">
        <f ca="1">IFERROR(__xludf.DUMMYFUNCTION("""COMPUTED_VALUE"""),"")</f>
        <v/>
      </c>
      <c r="J51" s="25" t="str">
        <f ca="1">IFERROR(__xludf.DUMMYFUNCTION("""COMPUTED_VALUE"""),"Vaidya")</f>
        <v>Vaidya</v>
      </c>
      <c r="K51" s="25" t="str">
        <f ca="1">IFERROR(__xludf.DUMMYFUNCTION("""COMPUTED_VALUE"""),"Ishwari")</f>
        <v>Ishwari</v>
      </c>
      <c r="L51" s="25" t="str">
        <f ca="1">IFERROR(__xludf.DUMMYFUNCTION("""COMPUTED_VALUE"""),"Sunildatta")</f>
        <v>Sunildatta</v>
      </c>
      <c r="M51" s="25" t="str">
        <f ca="1">IFERROR(__xludf.DUMMYFUNCTION("""COMPUTED_VALUE"""),"Vaidya Ishwari Sunildatta")</f>
        <v>Vaidya Ishwari Sunildatta</v>
      </c>
      <c r="N51" s="25" t="str">
        <f ca="1">IFERROR(__xludf.DUMMYFUNCTION("""COMPUTED_VALUE"""),"Vaidya Ishwari S.")</f>
        <v>Vaidya Ishwari S.</v>
      </c>
      <c r="O51" s="25" t="str">
        <f ca="1">IFERROR(__xludf.DUMMYFUNCTION("""COMPUTED_VALUE"""),"Vaidya I. S.")</f>
        <v>Vaidya I. S.</v>
      </c>
      <c r="P51" s="24" t="str">
        <f ca="1">IFERROR(__xludf.DUMMYFUNCTION("""COMPUTED_VALUE"""),"REG")</f>
        <v>REG</v>
      </c>
      <c r="Q51" s="26" t="str">
        <f ca="1">IFERROR(__xludf.DUMMYFUNCTION("""COMPUTED_VALUE"""),"")</f>
        <v/>
      </c>
      <c r="R51" s="26" t="str">
        <f ca="1">IFERROR(__xludf.DUMMYFUNCTION("""COMPUTED_VALUE"""),"")</f>
        <v/>
      </c>
      <c r="S51" s="26" t="str">
        <f ca="1">IFERROR(__xludf.DUMMYFUNCTION("""COMPUTED_VALUE"""),"")</f>
        <v/>
      </c>
      <c r="T51" s="24" t="str">
        <f ca="1">IFERROR(__xludf.DUMMYFUNCTION("""COMPUTED_VALUE"""),"SBC")</f>
        <v>SBC</v>
      </c>
      <c r="U51" s="24" t="str">
        <f ca="1">IFERROR(__xludf.DUMMYFUNCTION("""COMPUTED_VALUE"""),"F")</f>
        <v>F</v>
      </c>
      <c r="V51" s="24">
        <f ca="1">IFERROR(__xludf.DUMMYFUNCTION("""COMPUTED_VALUE"""),2017)</f>
        <v>2017</v>
      </c>
      <c r="W51" s="25" t="str">
        <f ca="1">IFERROR(__xludf.DUMMYFUNCTION("""COMPUTED_VALUE"""),"Ishwari' Bunglow, Sbi Colony, Sambhaji Nagar, Baramati Dist Pune-413102")</f>
        <v>Ishwari' Bunglow, Sbi Colony, Sambhaji Nagar, Baramati Dist Pune-413102</v>
      </c>
      <c r="X51" s="24">
        <f ca="1">IFERROR(__xludf.DUMMYFUNCTION("""COMPUTED_VALUE"""),9665841630)</f>
        <v>9665841630</v>
      </c>
      <c r="Y51" s="24">
        <f ca="1">IFERROR(__xludf.DUMMYFUNCTION("""COMPUTED_VALUE"""),9146654610)</f>
        <v>9146654610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>
      <c r="A52" s="22">
        <v>47</v>
      </c>
      <c r="B52" s="27">
        <f ca="1">IFERROR(__xludf.DUMMYFUNCTION("""COMPUTED_VALUE"""),985)</f>
        <v>985</v>
      </c>
      <c r="C52" s="24" t="str">
        <f ca="1">IFERROR(__xludf.DUMMYFUNCTION("""COMPUTED_VALUE"""),"COMP")</f>
        <v>COMP</v>
      </c>
      <c r="D52" s="24" t="str">
        <f ca="1">IFERROR(__xludf.DUMMYFUNCTION("""COMPUTED_VALUE"""),"SE")</f>
        <v>SE</v>
      </c>
      <c r="E52" s="24" t="str">
        <f ca="1">IFERROR(__xludf.DUMMYFUNCTION("""COMPUTED_VALUE"""),"")</f>
        <v/>
      </c>
      <c r="F52" s="24">
        <f ca="1">IFERROR(__xludf.DUMMYFUNCTION("""COMPUTED_VALUE"""),1821066)</f>
        <v>1821066</v>
      </c>
      <c r="G52" s="24" t="str">
        <f ca="1">IFERROR(__xludf.DUMMYFUNCTION("""COMPUTED_VALUE"""),"Ms.")</f>
        <v>Ms.</v>
      </c>
      <c r="H52" s="25" t="str">
        <f ca="1">IFERROR(__xludf.DUMMYFUNCTION("""COMPUTED_VALUE"""),"Wanave Mohini Prakash")</f>
        <v>Wanave Mohini Prakash</v>
      </c>
      <c r="I52" s="24" t="str">
        <f ca="1">IFERROR(__xludf.DUMMYFUNCTION("""COMPUTED_VALUE"""),"")</f>
        <v/>
      </c>
      <c r="J52" s="25" t="str">
        <f ca="1">IFERROR(__xludf.DUMMYFUNCTION("""COMPUTED_VALUE"""),"Wanave")</f>
        <v>Wanave</v>
      </c>
      <c r="K52" s="25" t="str">
        <f ca="1">IFERROR(__xludf.DUMMYFUNCTION("""COMPUTED_VALUE"""),"Mohini")</f>
        <v>Mohini</v>
      </c>
      <c r="L52" s="25" t="str">
        <f ca="1">IFERROR(__xludf.DUMMYFUNCTION("""COMPUTED_VALUE"""),"Prakash")</f>
        <v>Prakash</v>
      </c>
      <c r="M52" s="25" t="str">
        <f ca="1">IFERROR(__xludf.DUMMYFUNCTION("""COMPUTED_VALUE"""),"Wanave Mohini Prakash")</f>
        <v>Wanave Mohini Prakash</v>
      </c>
      <c r="N52" s="25" t="str">
        <f ca="1">IFERROR(__xludf.DUMMYFUNCTION("""COMPUTED_VALUE"""),"Wanave Mohini P.")</f>
        <v>Wanave Mohini P.</v>
      </c>
      <c r="O52" s="25" t="str">
        <f ca="1">IFERROR(__xludf.DUMMYFUNCTION("""COMPUTED_VALUE"""),"Wanave M. P.")</f>
        <v>Wanave M. P.</v>
      </c>
      <c r="P52" s="24" t="str">
        <f ca="1">IFERROR(__xludf.DUMMYFUNCTION("""COMPUTED_VALUE"""),"REG")</f>
        <v>REG</v>
      </c>
      <c r="Q52" s="26" t="str">
        <f ca="1">IFERROR(__xludf.DUMMYFUNCTION("""COMPUTED_VALUE"""),"")</f>
        <v/>
      </c>
      <c r="R52" s="26" t="str">
        <f ca="1">IFERROR(__xludf.DUMMYFUNCTION("""COMPUTED_VALUE"""),"")</f>
        <v/>
      </c>
      <c r="S52" s="26" t="str">
        <f ca="1">IFERROR(__xludf.DUMMYFUNCTION("""COMPUTED_VALUE"""),"")</f>
        <v/>
      </c>
      <c r="T52" s="24" t="str">
        <f ca="1">IFERROR(__xludf.DUMMYFUNCTION("""COMPUTED_VALUE"""),"NT3")</f>
        <v>NT3</v>
      </c>
      <c r="U52" s="24" t="str">
        <f ca="1">IFERROR(__xludf.DUMMYFUNCTION("""COMPUTED_VALUE"""),"F")</f>
        <v>F</v>
      </c>
      <c r="V52" s="24">
        <f ca="1">IFERROR(__xludf.DUMMYFUNCTION("""COMPUTED_VALUE"""),2017)</f>
        <v>2017</v>
      </c>
      <c r="W52" s="25" t="str">
        <f ca="1">IFERROR(__xludf.DUMMYFUNCTION("""COMPUTED_VALUE"""),"A.P. Lakadi Tal. Indapur Dist.Pune-413130")</f>
        <v>A.P. Lakadi Tal. Indapur Dist.Pune-413130</v>
      </c>
      <c r="X52" s="24">
        <f ca="1">IFERROR(__xludf.DUMMYFUNCTION("""COMPUTED_VALUE"""),9422519125)</f>
        <v>9422519125</v>
      </c>
      <c r="Y52" s="24">
        <f ca="1">IFERROR(__xludf.DUMMYFUNCTION("""COMPUTED_VALUE"""),7057411843)</f>
        <v>7057411843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>
      <c r="A53" s="22">
        <v>48</v>
      </c>
      <c r="B53" s="27">
        <f ca="1">IFERROR(__xludf.DUMMYFUNCTION("""COMPUTED_VALUE"""),986)</f>
        <v>986</v>
      </c>
      <c r="C53" s="24" t="str">
        <f ca="1">IFERROR(__xludf.DUMMYFUNCTION("""COMPUTED_VALUE"""),"COMP")</f>
        <v>COMP</v>
      </c>
      <c r="D53" s="24" t="str">
        <f ca="1">IFERROR(__xludf.DUMMYFUNCTION("""COMPUTED_VALUE"""),"SE")</f>
        <v>SE</v>
      </c>
      <c r="E53" s="24" t="str">
        <f ca="1">IFERROR(__xludf.DUMMYFUNCTION("""COMPUTED_VALUE"""),"")</f>
        <v/>
      </c>
      <c r="F53" s="24">
        <f ca="1">IFERROR(__xludf.DUMMYFUNCTION("""COMPUTED_VALUE"""),1821067)</f>
        <v>1821067</v>
      </c>
      <c r="G53" s="24" t="str">
        <f ca="1">IFERROR(__xludf.DUMMYFUNCTION("""COMPUTED_VALUE"""),"Ms.")</f>
        <v>Ms.</v>
      </c>
      <c r="H53" s="25" t="str">
        <f ca="1">IFERROR(__xludf.DUMMYFUNCTION("""COMPUTED_VALUE"""),"Zahida Rashid")</f>
        <v>Zahida Rashid</v>
      </c>
      <c r="I53" s="24" t="str">
        <f ca="1">IFERROR(__xludf.DUMMYFUNCTION("""COMPUTED_VALUE"""),"*")</f>
        <v>*</v>
      </c>
      <c r="J53" s="25" t="str">
        <f ca="1">IFERROR(__xludf.DUMMYFUNCTION("""COMPUTED_VALUE"""),"Rashid")</f>
        <v>Rashid</v>
      </c>
      <c r="K53" s="25" t="str">
        <f ca="1">IFERROR(__xludf.DUMMYFUNCTION("""COMPUTED_VALUE"""),"Zahida")</f>
        <v>Zahida</v>
      </c>
      <c r="L53" s="25" t="str">
        <f ca="1">IFERROR(__xludf.DUMMYFUNCTION("""COMPUTED_VALUE"""),"")</f>
        <v/>
      </c>
      <c r="M53" s="25" t="str">
        <f ca="1">IFERROR(__xludf.DUMMYFUNCTION("""COMPUTED_VALUE"""),"Rashid Zahida ")</f>
        <v xml:space="preserve">Rashid Zahida </v>
      </c>
      <c r="N53" s="25" t="str">
        <f ca="1">IFERROR(__xludf.DUMMYFUNCTION("""COMPUTED_VALUE"""),"Rashid Zahida .")</f>
        <v>Rashid Zahida .</v>
      </c>
      <c r="O53" s="25" t="str">
        <f ca="1">IFERROR(__xludf.DUMMYFUNCTION("""COMPUTED_VALUE"""),"Rashid Z. .")</f>
        <v>Rashid Z. .</v>
      </c>
      <c r="P53" s="24" t="str">
        <f ca="1">IFERROR(__xludf.DUMMYFUNCTION("""COMPUTED_VALUE"""),"REG")</f>
        <v>REG</v>
      </c>
      <c r="Q53" s="26" t="str">
        <f ca="1">IFERROR(__xludf.DUMMYFUNCTION("""COMPUTED_VALUE"""),"")</f>
        <v/>
      </c>
      <c r="R53" s="26" t="str">
        <f ca="1">IFERROR(__xludf.DUMMYFUNCTION("""COMPUTED_VALUE"""),"")</f>
        <v/>
      </c>
      <c r="S53" s="26" t="str">
        <f ca="1">IFERROR(__xludf.DUMMYFUNCTION("""COMPUTED_VALUE"""),"")</f>
        <v/>
      </c>
      <c r="T53" s="24" t="str">
        <f ca="1">IFERROR(__xludf.DUMMYFUNCTION("""COMPUTED_VALUE"""),"OPEN")</f>
        <v>OPEN</v>
      </c>
      <c r="U53" s="24" t="str">
        <f ca="1">IFERROR(__xludf.DUMMYFUNCTION("""COMPUTED_VALUE"""),"F")</f>
        <v>F</v>
      </c>
      <c r="V53" s="24">
        <f ca="1">IFERROR(__xludf.DUMMYFUNCTION("""COMPUTED_VALUE"""),2017)</f>
        <v>2017</v>
      </c>
      <c r="W53" s="25" t="str">
        <f ca="1">IFERROR(__xludf.DUMMYFUNCTION("""COMPUTED_VALUE"""),"Goripora - Noorbagh - Srinagar, Kashmir, Pin. 190017, 9469883926")</f>
        <v>Goripora - Noorbagh - Srinagar, Kashmir, Pin. 190017, 9469883926</v>
      </c>
      <c r="X53" s="24">
        <f ca="1">IFERROR(__xludf.DUMMYFUNCTION("""COMPUTED_VALUE"""),9469883926)</f>
        <v>9469883926</v>
      </c>
      <c r="Y53" s="24">
        <f ca="1">IFERROR(__xludf.DUMMYFUNCTION("""COMPUTED_VALUE"""),9284184237)</f>
        <v>9284184237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>
      <c r="A54" s="22">
        <v>49</v>
      </c>
      <c r="B54" s="27">
        <f ca="1">IFERROR(__xludf.DUMMYFUNCTION("""COMPUTED_VALUE"""),987)</f>
        <v>987</v>
      </c>
      <c r="C54" s="24" t="str">
        <f ca="1">IFERROR(__xludf.DUMMYFUNCTION("""COMPUTED_VALUE"""),"COMP")</f>
        <v>COMP</v>
      </c>
      <c r="D54" s="24" t="str">
        <f ca="1">IFERROR(__xludf.DUMMYFUNCTION("""COMPUTED_VALUE"""),"SE")</f>
        <v>SE</v>
      </c>
      <c r="E54" s="24" t="str">
        <f ca="1">IFERROR(__xludf.DUMMYFUNCTION("""COMPUTED_VALUE"""),"")</f>
        <v/>
      </c>
      <c r="F54" s="24">
        <f ca="1">IFERROR(__xludf.DUMMYFUNCTION("""COMPUTED_VALUE"""),1821068)</f>
        <v>1821068</v>
      </c>
      <c r="G54" s="24" t="str">
        <f ca="1">IFERROR(__xludf.DUMMYFUNCTION("""COMPUTED_VALUE"""),"Mr.")</f>
        <v>Mr.</v>
      </c>
      <c r="H54" s="25" t="str">
        <f ca="1">IFERROR(__xludf.DUMMYFUNCTION("""COMPUTED_VALUE"""),"Zope Siddhesh Narendra")</f>
        <v>Zope Siddhesh Narendra</v>
      </c>
      <c r="I54" s="24" t="str">
        <f ca="1">IFERROR(__xludf.DUMMYFUNCTION("""COMPUTED_VALUE"""),"")</f>
        <v/>
      </c>
      <c r="J54" s="25" t="str">
        <f ca="1">IFERROR(__xludf.DUMMYFUNCTION("""COMPUTED_VALUE"""),"Zope")</f>
        <v>Zope</v>
      </c>
      <c r="K54" s="25" t="str">
        <f ca="1">IFERROR(__xludf.DUMMYFUNCTION("""COMPUTED_VALUE"""),"Siddhesh")</f>
        <v>Siddhesh</v>
      </c>
      <c r="L54" s="25" t="str">
        <f ca="1">IFERROR(__xludf.DUMMYFUNCTION("""COMPUTED_VALUE"""),"Narendra")</f>
        <v>Narendra</v>
      </c>
      <c r="M54" s="25" t="str">
        <f ca="1">IFERROR(__xludf.DUMMYFUNCTION("""COMPUTED_VALUE"""),"Zope Siddhesh Narendra")</f>
        <v>Zope Siddhesh Narendra</v>
      </c>
      <c r="N54" s="25" t="str">
        <f ca="1">IFERROR(__xludf.DUMMYFUNCTION("""COMPUTED_VALUE"""),"Zope Siddhesh N.")</f>
        <v>Zope Siddhesh N.</v>
      </c>
      <c r="O54" s="25" t="str">
        <f ca="1">IFERROR(__xludf.DUMMYFUNCTION("""COMPUTED_VALUE"""),"Zope S. N.")</f>
        <v>Zope S. N.</v>
      </c>
      <c r="P54" s="24" t="str">
        <f ca="1">IFERROR(__xludf.DUMMYFUNCTION("""COMPUTED_VALUE"""),"REG")</f>
        <v>REG</v>
      </c>
      <c r="Q54" s="26" t="str">
        <f ca="1">IFERROR(__xludf.DUMMYFUNCTION("""COMPUTED_VALUE"""),"")</f>
        <v/>
      </c>
      <c r="R54" s="26" t="str">
        <f ca="1">IFERROR(__xludf.DUMMYFUNCTION("""COMPUTED_VALUE"""),"")</f>
        <v/>
      </c>
      <c r="S54" s="26" t="str">
        <f ca="1">IFERROR(__xludf.DUMMYFUNCTION("""COMPUTED_VALUE"""),"")</f>
        <v/>
      </c>
      <c r="T54" s="24" t="str">
        <f ca="1">IFERROR(__xludf.DUMMYFUNCTION("""COMPUTED_VALUE"""),"OBC")</f>
        <v>OBC</v>
      </c>
      <c r="U54" s="24" t="str">
        <f ca="1">IFERROR(__xludf.DUMMYFUNCTION("""COMPUTED_VALUE"""),"M")</f>
        <v>M</v>
      </c>
      <c r="V54" s="24">
        <f ca="1">IFERROR(__xludf.DUMMYFUNCTION("""COMPUTED_VALUE"""),2017)</f>
        <v>2017</v>
      </c>
      <c r="W54" s="25" t="str">
        <f ca="1">IFERROR(__xludf.DUMMYFUNCTION("""COMPUTED_VALUE"""),"Gurupushpa Aprtments, Suryanagari A.P. Baramati Dist Pune-413133")</f>
        <v>Gurupushpa Aprtments, Suryanagari A.P. Baramati Dist Pune-413133</v>
      </c>
      <c r="X54" s="24">
        <f ca="1">IFERROR(__xludf.DUMMYFUNCTION("""COMPUTED_VALUE"""),9763369894)</f>
        <v>9763369894</v>
      </c>
      <c r="Y54" s="24">
        <f ca="1">IFERROR(__xludf.DUMMYFUNCTION("""COMPUTED_VALUE"""),9689045268)</f>
        <v>9689045268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>
      <c r="A55" s="22">
        <v>50</v>
      </c>
      <c r="B55" s="27">
        <f ca="1">IFERROR(__xludf.DUMMYFUNCTION("""COMPUTED_VALUE"""),988)</f>
        <v>988</v>
      </c>
      <c r="C55" s="24" t="str">
        <f ca="1">IFERROR(__xludf.DUMMYFUNCTION("""COMPUTED_VALUE"""),"COMP")</f>
        <v>COMP</v>
      </c>
      <c r="D55" s="24" t="str">
        <f ca="1">IFERROR(__xludf.DUMMYFUNCTION("""COMPUTED_VALUE"""),"SE")</f>
        <v>SE</v>
      </c>
      <c r="E55" s="24" t="str">
        <f ca="1">IFERROR(__xludf.DUMMYFUNCTION("""COMPUTED_VALUE"""),"")</f>
        <v/>
      </c>
      <c r="F55" s="24">
        <f ca="1">IFERROR(__xludf.DUMMYFUNCTION("""COMPUTED_VALUE"""),1821069)</f>
        <v>1821069</v>
      </c>
      <c r="G55" s="24" t="str">
        <f ca="1">IFERROR(__xludf.DUMMYFUNCTION("""COMPUTED_VALUE"""),"Mr.")</f>
        <v>Mr.</v>
      </c>
      <c r="H55" s="25" t="str">
        <f ca="1">IFERROR(__xludf.DUMMYFUNCTION("""COMPUTED_VALUE"""),"Bankar Vishal Harichandra")</f>
        <v>Bankar Vishal Harichandra</v>
      </c>
      <c r="I55" s="24" t="str">
        <f ca="1">IFERROR(__xludf.DUMMYFUNCTION("""COMPUTED_VALUE"""),"")</f>
        <v/>
      </c>
      <c r="J55" s="25" t="str">
        <f ca="1">IFERROR(__xludf.DUMMYFUNCTION("""COMPUTED_VALUE"""),"Bankar")</f>
        <v>Bankar</v>
      </c>
      <c r="K55" s="25" t="str">
        <f ca="1">IFERROR(__xludf.DUMMYFUNCTION("""COMPUTED_VALUE"""),"Vishal")</f>
        <v>Vishal</v>
      </c>
      <c r="L55" s="25" t="str">
        <f ca="1">IFERROR(__xludf.DUMMYFUNCTION("""COMPUTED_VALUE"""),"Harichandra")</f>
        <v>Harichandra</v>
      </c>
      <c r="M55" s="25" t="str">
        <f ca="1">IFERROR(__xludf.DUMMYFUNCTION("""COMPUTED_VALUE"""),"Bankar Vishal Harichandra")</f>
        <v>Bankar Vishal Harichandra</v>
      </c>
      <c r="N55" s="25" t="str">
        <f ca="1">IFERROR(__xludf.DUMMYFUNCTION("""COMPUTED_VALUE"""),"Bankar Vishal H.")</f>
        <v>Bankar Vishal H.</v>
      </c>
      <c r="O55" s="25" t="str">
        <f ca="1">IFERROR(__xludf.DUMMYFUNCTION("""COMPUTED_VALUE"""),"Bankar V. H.")</f>
        <v>Bankar V. H.</v>
      </c>
      <c r="P55" s="24" t="str">
        <f ca="1">IFERROR(__xludf.DUMMYFUNCTION("""COMPUTED_VALUE"""),"REG")</f>
        <v>REG</v>
      </c>
      <c r="Q55" s="26" t="str">
        <f ca="1">IFERROR(__xludf.DUMMYFUNCTION("""COMPUTED_VALUE"""),"")</f>
        <v/>
      </c>
      <c r="R55" s="26" t="str">
        <f ca="1">IFERROR(__xludf.DUMMYFUNCTION("""COMPUTED_VALUE"""),"")</f>
        <v/>
      </c>
      <c r="S55" s="26" t="str">
        <f ca="1">IFERROR(__xludf.DUMMYFUNCTION("""COMPUTED_VALUE"""),"")</f>
        <v/>
      </c>
      <c r="T55" s="24" t="str">
        <f ca="1">IFERROR(__xludf.DUMMYFUNCTION("""COMPUTED_VALUE"""),"OBC")</f>
        <v>OBC</v>
      </c>
      <c r="U55" s="24" t="str">
        <f ca="1">IFERROR(__xludf.DUMMYFUNCTION("""COMPUTED_VALUE"""),"M")</f>
        <v>M</v>
      </c>
      <c r="V55" s="24">
        <f ca="1">IFERROR(__xludf.DUMMYFUNCTION("""COMPUTED_VALUE"""),2017)</f>
        <v>2017</v>
      </c>
      <c r="W55" s="25" t="str">
        <f ca="1">IFERROR(__xludf.DUMMYFUNCTION("""COMPUTED_VALUE"""),"A.P. Undwadi Kade Pathar, Near Lake Bhopal Bet Vasti, Baramati-413102")</f>
        <v>A.P. Undwadi Kade Pathar, Near Lake Bhopal Bet Vasti, Baramati-413102</v>
      </c>
      <c r="X55" s="24">
        <f ca="1">IFERROR(__xludf.DUMMYFUNCTION("""COMPUTED_VALUE"""),9403357708)</f>
        <v>9403357708</v>
      </c>
      <c r="Y55" s="24">
        <f ca="1">IFERROR(__xludf.DUMMYFUNCTION("""COMPUTED_VALUE"""),7066387529)</f>
        <v>7066387529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>
      <c r="A56" s="22">
        <v>51</v>
      </c>
      <c r="B56" s="27">
        <f ca="1">IFERROR(__xludf.DUMMYFUNCTION("""COMPUTED_VALUE"""),989)</f>
        <v>989</v>
      </c>
      <c r="C56" s="24" t="str">
        <f ca="1">IFERROR(__xludf.DUMMYFUNCTION("""COMPUTED_VALUE"""),"COMP")</f>
        <v>COMP</v>
      </c>
      <c r="D56" s="24" t="str">
        <f ca="1">IFERROR(__xludf.DUMMYFUNCTION("""COMPUTED_VALUE"""),"SE")</f>
        <v>SE</v>
      </c>
      <c r="E56" s="24" t="str">
        <f ca="1">IFERROR(__xludf.DUMMYFUNCTION("""COMPUTED_VALUE"""),"")</f>
        <v/>
      </c>
      <c r="F56" s="24">
        <f ca="1">IFERROR(__xludf.DUMMYFUNCTION("""COMPUTED_VALUE"""),1821070)</f>
        <v>1821070</v>
      </c>
      <c r="G56" s="24" t="str">
        <f ca="1">IFERROR(__xludf.DUMMYFUNCTION("""COMPUTED_VALUE"""),"Ms.")</f>
        <v>Ms.</v>
      </c>
      <c r="H56" s="25" t="str">
        <f ca="1">IFERROR(__xludf.DUMMYFUNCTION("""COMPUTED_VALUE"""),"Chaudhari Akshata Vallabh")</f>
        <v>Chaudhari Akshata Vallabh</v>
      </c>
      <c r="I56" s="24" t="str">
        <f ca="1">IFERROR(__xludf.DUMMYFUNCTION("""COMPUTED_VALUE"""),"")</f>
        <v/>
      </c>
      <c r="J56" s="25" t="str">
        <f ca="1">IFERROR(__xludf.DUMMYFUNCTION("""COMPUTED_VALUE"""),"Chaudhari")</f>
        <v>Chaudhari</v>
      </c>
      <c r="K56" s="25" t="str">
        <f ca="1">IFERROR(__xludf.DUMMYFUNCTION("""COMPUTED_VALUE"""),"Akshata")</f>
        <v>Akshata</v>
      </c>
      <c r="L56" s="25" t="str">
        <f ca="1">IFERROR(__xludf.DUMMYFUNCTION("""COMPUTED_VALUE"""),"Vallabh")</f>
        <v>Vallabh</v>
      </c>
      <c r="M56" s="25" t="str">
        <f ca="1">IFERROR(__xludf.DUMMYFUNCTION("""COMPUTED_VALUE"""),"Chaudhari Akshata Vallabh")</f>
        <v>Chaudhari Akshata Vallabh</v>
      </c>
      <c r="N56" s="25" t="str">
        <f ca="1">IFERROR(__xludf.DUMMYFUNCTION("""COMPUTED_VALUE"""),"Chaudhari Akshata V.")</f>
        <v>Chaudhari Akshata V.</v>
      </c>
      <c r="O56" s="25" t="str">
        <f ca="1">IFERROR(__xludf.DUMMYFUNCTION("""COMPUTED_VALUE"""),"Chaudhari A. V.")</f>
        <v>Chaudhari A. V.</v>
      </c>
      <c r="P56" s="24" t="str">
        <f ca="1">IFERROR(__xludf.DUMMYFUNCTION("""COMPUTED_VALUE"""),"REG")</f>
        <v>REG</v>
      </c>
      <c r="Q56" s="26" t="str">
        <f ca="1">IFERROR(__xludf.DUMMYFUNCTION("""COMPUTED_VALUE"""),"")</f>
        <v/>
      </c>
      <c r="R56" s="26" t="str">
        <f ca="1">IFERROR(__xludf.DUMMYFUNCTION("""COMPUTED_VALUE"""),"")</f>
        <v/>
      </c>
      <c r="S56" s="26" t="str">
        <f ca="1">IFERROR(__xludf.DUMMYFUNCTION("""COMPUTED_VALUE"""),"")</f>
        <v/>
      </c>
      <c r="T56" s="24" t="str">
        <f ca="1">IFERROR(__xludf.DUMMYFUNCTION("""COMPUTED_VALUE"""),"OPEN")</f>
        <v>OPEN</v>
      </c>
      <c r="U56" s="24" t="str">
        <f ca="1">IFERROR(__xludf.DUMMYFUNCTION("""COMPUTED_VALUE"""),"F")</f>
        <v>F</v>
      </c>
      <c r="V56" s="24">
        <f ca="1">IFERROR(__xludf.DUMMYFUNCTION("""COMPUTED_VALUE"""),2017)</f>
        <v>2017</v>
      </c>
      <c r="W56" s="25" t="str">
        <f ca="1">IFERROR(__xludf.DUMMYFUNCTION("""COMPUTED_VALUE"""),"Prabhavati Nivas Harikripanagar, Indapur Road, Baramati-413102, M-9850957169")</f>
        <v>Prabhavati Nivas Harikripanagar, Indapur Road, Baramati-413102, M-9850957169</v>
      </c>
      <c r="X56" s="24">
        <f ca="1">IFERROR(__xludf.DUMMYFUNCTION("""COMPUTED_VALUE"""),9850957169)</f>
        <v>9850957169</v>
      </c>
      <c r="Y56" s="24">
        <f ca="1">IFERROR(__xludf.DUMMYFUNCTION("""COMPUTED_VALUE"""),8805539677)</f>
        <v>8805539677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>
      <c r="A57" s="22">
        <v>52</v>
      </c>
      <c r="B57" s="27">
        <f ca="1">IFERROR(__xludf.DUMMYFUNCTION("""COMPUTED_VALUE"""),990)</f>
        <v>990</v>
      </c>
      <c r="C57" s="24" t="str">
        <f ca="1">IFERROR(__xludf.DUMMYFUNCTION("""COMPUTED_VALUE"""),"COMP")</f>
        <v>COMP</v>
      </c>
      <c r="D57" s="24" t="str">
        <f ca="1">IFERROR(__xludf.DUMMYFUNCTION("""COMPUTED_VALUE"""),"SE")</f>
        <v>SE</v>
      </c>
      <c r="E57" s="24" t="str">
        <f ca="1">IFERROR(__xludf.DUMMYFUNCTION("""COMPUTED_VALUE"""),"")</f>
        <v/>
      </c>
      <c r="F57" s="24">
        <f ca="1">IFERROR(__xludf.DUMMYFUNCTION("""COMPUTED_VALUE"""),1821071)</f>
        <v>1821071</v>
      </c>
      <c r="G57" s="24" t="str">
        <f ca="1">IFERROR(__xludf.DUMMYFUNCTION("""COMPUTED_VALUE"""),"Ms.")</f>
        <v>Ms.</v>
      </c>
      <c r="H57" s="25" t="str">
        <f ca="1">IFERROR(__xludf.DUMMYFUNCTION("""COMPUTED_VALUE"""),"Patale Sanika Sunil")</f>
        <v>Patale Sanika Sunil</v>
      </c>
      <c r="I57" s="24" t="str">
        <f ca="1">IFERROR(__xludf.DUMMYFUNCTION("""COMPUTED_VALUE"""),"")</f>
        <v/>
      </c>
      <c r="J57" s="25" t="str">
        <f ca="1">IFERROR(__xludf.DUMMYFUNCTION("""COMPUTED_VALUE"""),"Patale")</f>
        <v>Patale</v>
      </c>
      <c r="K57" s="25" t="str">
        <f ca="1">IFERROR(__xludf.DUMMYFUNCTION("""COMPUTED_VALUE"""),"Sanika")</f>
        <v>Sanika</v>
      </c>
      <c r="L57" s="25" t="str">
        <f ca="1">IFERROR(__xludf.DUMMYFUNCTION("""COMPUTED_VALUE"""),"Sunil")</f>
        <v>Sunil</v>
      </c>
      <c r="M57" s="25" t="str">
        <f ca="1">IFERROR(__xludf.DUMMYFUNCTION("""COMPUTED_VALUE"""),"Patale Sanika Sunil")</f>
        <v>Patale Sanika Sunil</v>
      </c>
      <c r="N57" s="25" t="str">
        <f ca="1">IFERROR(__xludf.DUMMYFUNCTION("""COMPUTED_VALUE"""),"Patale Sanika S.")</f>
        <v>Patale Sanika S.</v>
      </c>
      <c r="O57" s="25" t="str">
        <f ca="1">IFERROR(__xludf.DUMMYFUNCTION("""COMPUTED_VALUE"""),"Patale S. S.")</f>
        <v>Patale S. S.</v>
      </c>
      <c r="P57" s="24" t="str">
        <f ca="1">IFERROR(__xludf.DUMMYFUNCTION("""COMPUTED_VALUE"""),"REG")</f>
        <v>REG</v>
      </c>
      <c r="Q57" s="26" t="str">
        <f ca="1">IFERROR(__xludf.DUMMYFUNCTION("""COMPUTED_VALUE"""),"")</f>
        <v/>
      </c>
      <c r="R57" s="26" t="str">
        <f ca="1">IFERROR(__xludf.DUMMYFUNCTION("""COMPUTED_VALUE"""),"")</f>
        <v/>
      </c>
      <c r="S57" s="26" t="str">
        <f ca="1">IFERROR(__xludf.DUMMYFUNCTION("""COMPUTED_VALUE"""),"")</f>
        <v/>
      </c>
      <c r="T57" s="24" t="str">
        <f ca="1">IFERROR(__xludf.DUMMYFUNCTION("""COMPUTED_VALUE"""),"OPEN")</f>
        <v>OPEN</v>
      </c>
      <c r="U57" s="24" t="str">
        <f ca="1">IFERROR(__xludf.DUMMYFUNCTION("""COMPUTED_VALUE"""),"F")</f>
        <v>F</v>
      </c>
      <c r="V57" s="24">
        <f ca="1">IFERROR(__xludf.DUMMYFUNCTION("""COMPUTED_VALUE"""),2017)</f>
        <v>2017</v>
      </c>
      <c r="W57" s="25" t="str">
        <f ca="1">IFERROR(__xludf.DUMMYFUNCTION("""COMPUTED_VALUE"""),"Patale Wasti Khandali, Khandali-413113, M-7875249345")</f>
        <v>Patale Wasti Khandali, Khandali-413113, M-7875249345</v>
      </c>
      <c r="X57" s="24">
        <f ca="1">IFERROR(__xludf.DUMMYFUNCTION("""COMPUTED_VALUE"""),7875249345)</f>
        <v>7875249345</v>
      </c>
      <c r="Y57" s="24">
        <f ca="1">IFERROR(__xludf.DUMMYFUNCTION("""COMPUTED_VALUE"""),7447812963)</f>
        <v>7447812963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>
      <c r="A58" s="22">
        <v>53</v>
      </c>
      <c r="B58" s="27">
        <f ca="1">IFERROR(__xludf.DUMMYFUNCTION("""COMPUTED_VALUE"""),991)</f>
        <v>991</v>
      </c>
      <c r="C58" s="24" t="str">
        <f ca="1">IFERROR(__xludf.DUMMYFUNCTION("""COMPUTED_VALUE"""),"COMP")</f>
        <v>COMP</v>
      </c>
      <c r="D58" s="24" t="str">
        <f ca="1">IFERROR(__xludf.DUMMYFUNCTION("""COMPUTED_VALUE"""),"SE")</f>
        <v>SE</v>
      </c>
      <c r="E58" s="24" t="str">
        <f ca="1">IFERROR(__xludf.DUMMYFUNCTION("""COMPUTED_VALUE"""),"")</f>
        <v/>
      </c>
      <c r="F58" s="24">
        <f ca="1">IFERROR(__xludf.DUMMYFUNCTION("""COMPUTED_VALUE"""),1821072)</f>
        <v>1821072</v>
      </c>
      <c r="G58" s="24" t="str">
        <f ca="1">IFERROR(__xludf.DUMMYFUNCTION("""COMPUTED_VALUE"""),"Mr.")</f>
        <v>Mr.</v>
      </c>
      <c r="H58" s="25" t="str">
        <f ca="1">IFERROR(__xludf.DUMMYFUNCTION("""COMPUTED_VALUE"""),"Patil Mahesh Hanumant")</f>
        <v>Patil Mahesh Hanumant</v>
      </c>
      <c r="I58" s="24" t="str">
        <f ca="1">IFERROR(__xludf.DUMMYFUNCTION("""COMPUTED_VALUE"""),"")</f>
        <v/>
      </c>
      <c r="J58" s="25" t="str">
        <f ca="1">IFERROR(__xludf.DUMMYFUNCTION("""COMPUTED_VALUE"""),"Patil")</f>
        <v>Patil</v>
      </c>
      <c r="K58" s="25" t="str">
        <f ca="1">IFERROR(__xludf.DUMMYFUNCTION("""COMPUTED_VALUE"""),"Mahesh")</f>
        <v>Mahesh</v>
      </c>
      <c r="L58" s="25" t="str">
        <f ca="1">IFERROR(__xludf.DUMMYFUNCTION("""COMPUTED_VALUE"""),"Hanumant")</f>
        <v>Hanumant</v>
      </c>
      <c r="M58" s="25" t="str">
        <f ca="1">IFERROR(__xludf.DUMMYFUNCTION("""COMPUTED_VALUE"""),"Patil Mahesh Hanumant")</f>
        <v>Patil Mahesh Hanumant</v>
      </c>
      <c r="N58" s="25" t="str">
        <f ca="1">IFERROR(__xludf.DUMMYFUNCTION("""COMPUTED_VALUE"""),"Patil Mahesh H.")</f>
        <v>Patil Mahesh H.</v>
      </c>
      <c r="O58" s="25" t="str">
        <f ca="1">IFERROR(__xludf.DUMMYFUNCTION("""COMPUTED_VALUE"""),"Patil M. H.")</f>
        <v>Patil M. H.</v>
      </c>
      <c r="P58" s="24" t="str">
        <f ca="1">IFERROR(__xludf.DUMMYFUNCTION("""COMPUTED_VALUE"""),"REG")</f>
        <v>REG</v>
      </c>
      <c r="Q58" s="26" t="str">
        <f ca="1">IFERROR(__xludf.DUMMYFUNCTION("""COMPUTED_VALUE"""),"")</f>
        <v/>
      </c>
      <c r="R58" s="26" t="str">
        <f ca="1">IFERROR(__xludf.DUMMYFUNCTION("""COMPUTED_VALUE"""),"")</f>
        <v/>
      </c>
      <c r="S58" s="26" t="str">
        <f ca="1">IFERROR(__xludf.DUMMYFUNCTION("""COMPUTED_VALUE"""),"")</f>
        <v/>
      </c>
      <c r="T58" s="24" t="str">
        <f ca="1">IFERROR(__xludf.DUMMYFUNCTION("""COMPUTED_VALUE"""),"NT2")</f>
        <v>NT2</v>
      </c>
      <c r="U58" s="24" t="str">
        <f ca="1">IFERROR(__xludf.DUMMYFUNCTION("""COMPUTED_VALUE"""),"M")</f>
        <v>M</v>
      </c>
      <c r="V58" s="24">
        <f ca="1">IFERROR(__xludf.DUMMYFUNCTION("""COMPUTED_VALUE"""),2017)</f>
        <v>2017</v>
      </c>
      <c r="W58" s="25" t="str">
        <f ca="1">IFERROR(__xludf.DUMMYFUNCTION("""COMPUTED_VALUE"""),"At Jamb Post Kurwali Tal Indapur Dist Pune-413104")</f>
        <v>At Jamb Post Kurwali Tal Indapur Dist Pune-413104</v>
      </c>
      <c r="X58" s="24">
        <f ca="1">IFERROR(__xludf.DUMMYFUNCTION("""COMPUTED_VALUE"""),9172342296)</f>
        <v>9172342296</v>
      </c>
      <c r="Y58" s="24">
        <f ca="1">IFERROR(__xludf.DUMMYFUNCTION("""COMPUTED_VALUE"""),9561886524)</f>
        <v>9561886524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>
      <c r="A59" s="22">
        <v>54</v>
      </c>
      <c r="B59" s="27">
        <f ca="1">IFERROR(__xludf.DUMMYFUNCTION("""COMPUTED_VALUE"""),926)</f>
        <v>926</v>
      </c>
      <c r="C59" s="24" t="str">
        <f ca="1">IFERROR(__xludf.DUMMYFUNCTION("""COMPUTED_VALUE"""),"COMP")</f>
        <v>COMP</v>
      </c>
      <c r="D59" s="24" t="str">
        <f ca="1">IFERROR(__xludf.DUMMYFUNCTION("""COMPUTED_VALUE"""),"SE")</f>
        <v>SE</v>
      </c>
      <c r="E59" s="24" t="str">
        <f ca="1">IFERROR(__xludf.DUMMYFUNCTION("""COMPUTED_VALUE"""),"")</f>
        <v/>
      </c>
      <c r="F59" s="24">
        <f ca="1">IFERROR(__xludf.DUMMYFUNCTION("""COMPUTED_VALUE"""),1821073)</f>
        <v>1821073</v>
      </c>
      <c r="G59" s="24" t="str">
        <f ca="1">IFERROR(__xludf.DUMMYFUNCTION("""COMPUTED_VALUE"""),"Ms.")</f>
        <v>Ms.</v>
      </c>
      <c r="H59" s="25" t="str">
        <f ca="1">IFERROR(__xludf.DUMMYFUNCTION("""COMPUTED_VALUE"""),"Ambale Harshada Ravi")</f>
        <v>Ambale Harshada Ravi</v>
      </c>
      <c r="I59" s="24" t="str">
        <f ca="1">IFERROR(__xludf.DUMMYFUNCTION("""COMPUTED_VALUE"""),"")</f>
        <v/>
      </c>
      <c r="J59" s="25" t="str">
        <f ca="1">IFERROR(__xludf.DUMMYFUNCTION("""COMPUTED_VALUE"""),"Ambale")</f>
        <v>Ambale</v>
      </c>
      <c r="K59" s="25" t="str">
        <f ca="1">IFERROR(__xludf.DUMMYFUNCTION("""COMPUTED_VALUE"""),"Harshada")</f>
        <v>Harshada</v>
      </c>
      <c r="L59" s="25" t="str">
        <f ca="1">IFERROR(__xludf.DUMMYFUNCTION("""COMPUTED_VALUE"""),"Ravi")</f>
        <v>Ravi</v>
      </c>
      <c r="M59" s="25" t="str">
        <f ca="1">IFERROR(__xludf.DUMMYFUNCTION("""COMPUTED_VALUE"""),"Ambale Harshada Ravi")</f>
        <v>Ambale Harshada Ravi</v>
      </c>
      <c r="N59" s="25" t="str">
        <f ca="1">IFERROR(__xludf.DUMMYFUNCTION("""COMPUTED_VALUE"""),"Ambale Harshada R.")</f>
        <v>Ambale Harshada R.</v>
      </c>
      <c r="O59" s="25" t="str">
        <f ca="1">IFERROR(__xludf.DUMMYFUNCTION("""COMPUTED_VALUE"""),"Ambale H. R.")</f>
        <v>Ambale H. R.</v>
      </c>
      <c r="P59" s="24" t="str">
        <f ca="1">IFERROR(__xludf.DUMMYFUNCTION("""COMPUTED_VALUE"""),"REG")</f>
        <v>REG</v>
      </c>
      <c r="Q59" s="26" t="str">
        <f ca="1">IFERROR(__xludf.DUMMYFUNCTION("""COMPUTED_VALUE"""),"")</f>
        <v/>
      </c>
      <c r="R59" s="26" t="str">
        <f ca="1">IFERROR(__xludf.DUMMYFUNCTION("""COMPUTED_VALUE"""),"")</f>
        <v/>
      </c>
      <c r="S59" s="26" t="str">
        <f ca="1">IFERROR(__xludf.DUMMYFUNCTION("""COMPUTED_VALUE"""),"")</f>
        <v/>
      </c>
      <c r="T59" s="24" t="str">
        <f ca="1">IFERROR(__xludf.DUMMYFUNCTION("""COMPUTED_VALUE"""),"SBC")</f>
        <v>SBC</v>
      </c>
      <c r="U59" s="24" t="str">
        <f ca="1">IFERROR(__xludf.DUMMYFUNCTION("""COMPUTED_VALUE"""),"F")</f>
        <v>F</v>
      </c>
      <c r="V59" s="24">
        <f ca="1">IFERROR(__xludf.DUMMYFUNCTION("""COMPUTED_VALUE"""),2018)</f>
        <v>2018</v>
      </c>
      <c r="W59" s="25" t="str">
        <f ca="1">IFERROR(__xludf.DUMMYFUNCTION("""COMPUTED_VALUE"""),"Azad Chawk Vairag, Tal-Barshi, Dist-Solapur")</f>
        <v>Azad Chawk Vairag, Tal-Barshi, Dist-Solapur</v>
      </c>
      <c r="X59" s="24">
        <f ca="1">IFERROR(__xludf.DUMMYFUNCTION("""COMPUTED_VALUE"""),9921435767)</f>
        <v>9921435767</v>
      </c>
      <c r="Y59" s="24">
        <f ca="1">IFERROR(__xludf.DUMMYFUNCTION("""COMPUTED_VALUE"""),9011908171)</f>
        <v>9011908171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>
      <c r="A60" s="22">
        <v>55</v>
      </c>
      <c r="B60" s="27">
        <f ca="1">IFERROR(__xludf.DUMMYFUNCTION("""COMPUTED_VALUE"""),927)</f>
        <v>927</v>
      </c>
      <c r="C60" s="24" t="str">
        <f ca="1">IFERROR(__xludf.DUMMYFUNCTION("""COMPUTED_VALUE"""),"COMP")</f>
        <v>COMP</v>
      </c>
      <c r="D60" s="24" t="str">
        <f ca="1">IFERROR(__xludf.DUMMYFUNCTION("""COMPUTED_VALUE"""),"SE")</f>
        <v>SE</v>
      </c>
      <c r="E60" s="24" t="str">
        <f ca="1">IFERROR(__xludf.DUMMYFUNCTION("""COMPUTED_VALUE"""),"")</f>
        <v/>
      </c>
      <c r="F60" s="24">
        <f ca="1">IFERROR(__xludf.DUMMYFUNCTION("""COMPUTED_VALUE"""),1821074)</f>
        <v>1821074</v>
      </c>
      <c r="G60" s="24" t="str">
        <f ca="1">IFERROR(__xludf.DUMMYFUNCTION("""COMPUTED_VALUE"""),"Ms.")</f>
        <v>Ms.</v>
      </c>
      <c r="H60" s="25" t="str">
        <f ca="1">IFERROR(__xludf.DUMMYFUNCTION("""COMPUTED_VALUE"""),"Atole Rajeshwari Sitaram")</f>
        <v>Atole Rajeshwari Sitaram</v>
      </c>
      <c r="I60" s="24" t="str">
        <f ca="1">IFERROR(__xludf.DUMMYFUNCTION("""COMPUTED_VALUE"""),"")</f>
        <v/>
      </c>
      <c r="J60" s="25" t="str">
        <f ca="1">IFERROR(__xludf.DUMMYFUNCTION("""COMPUTED_VALUE"""),"Atole")</f>
        <v>Atole</v>
      </c>
      <c r="K60" s="25" t="str">
        <f ca="1">IFERROR(__xludf.DUMMYFUNCTION("""COMPUTED_VALUE"""),"Rajeshwari")</f>
        <v>Rajeshwari</v>
      </c>
      <c r="L60" s="25" t="str">
        <f ca="1">IFERROR(__xludf.DUMMYFUNCTION("""COMPUTED_VALUE"""),"Sitaram")</f>
        <v>Sitaram</v>
      </c>
      <c r="M60" s="25" t="str">
        <f ca="1">IFERROR(__xludf.DUMMYFUNCTION("""COMPUTED_VALUE"""),"Atole Rajeshwari Sitaram")</f>
        <v>Atole Rajeshwari Sitaram</v>
      </c>
      <c r="N60" s="25" t="str">
        <f ca="1">IFERROR(__xludf.DUMMYFUNCTION("""COMPUTED_VALUE"""),"Atole Rajeshwari S.")</f>
        <v>Atole Rajeshwari S.</v>
      </c>
      <c r="O60" s="25" t="str">
        <f ca="1">IFERROR(__xludf.DUMMYFUNCTION("""COMPUTED_VALUE"""),"Atole R. S.")</f>
        <v>Atole R. S.</v>
      </c>
      <c r="P60" s="24" t="str">
        <f ca="1">IFERROR(__xludf.DUMMYFUNCTION("""COMPUTED_VALUE"""),"REG")</f>
        <v>REG</v>
      </c>
      <c r="Q60" s="26" t="str">
        <f ca="1">IFERROR(__xludf.DUMMYFUNCTION("""COMPUTED_VALUE"""),"")</f>
        <v/>
      </c>
      <c r="R60" s="26" t="str">
        <f ca="1">IFERROR(__xludf.DUMMYFUNCTION("""COMPUTED_VALUE"""),"")</f>
        <v/>
      </c>
      <c r="S60" s="26" t="str">
        <f ca="1">IFERROR(__xludf.DUMMYFUNCTION("""COMPUTED_VALUE"""),"")</f>
        <v/>
      </c>
      <c r="T60" s="24" t="str">
        <f ca="1">IFERROR(__xludf.DUMMYFUNCTION("""COMPUTED_VALUE"""),"NT2")</f>
        <v>NT2</v>
      </c>
      <c r="U60" s="24" t="str">
        <f ca="1">IFERROR(__xludf.DUMMYFUNCTION("""COMPUTED_VALUE"""),"F")</f>
        <v>F</v>
      </c>
      <c r="V60" s="24">
        <f ca="1">IFERROR(__xludf.DUMMYFUNCTION("""COMPUTED_VALUE"""),2018)</f>
        <v>2018</v>
      </c>
      <c r="W60" s="25" t="str">
        <f ca="1">IFERROR(__xludf.DUMMYFUNCTION("""COMPUTED_VALUE"""),"A/P- Rawangaon Tal-Daund Dist-Pune")</f>
        <v>A/P- Rawangaon Tal-Daund Dist-Pune</v>
      </c>
      <c r="X60" s="24">
        <f ca="1">IFERROR(__xludf.DUMMYFUNCTION("""COMPUTED_VALUE"""),8888630210)</f>
        <v>8888630210</v>
      </c>
      <c r="Y60" s="24">
        <f ca="1">IFERROR(__xludf.DUMMYFUNCTION("""COMPUTED_VALUE"""),7057153707)</f>
        <v>7057153707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>
      <c r="A61" s="22">
        <v>56</v>
      </c>
      <c r="B61" s="27">
        <f ca="1">IFERROR(__xludf.DUMMYFUNCTION("""COMPUTED_VALUE"""),928)</f>
        <v>928</v>
      </c>
      <c r="C61" s="24" t="str">
        <f ca="1">IFERROR(__xludf.DUMMYFUNCTION("""COMPUTED_VALUE"""),"COMP")</f>
        <v>COMP</v>
      </c>
      <c r="D61" s="24" t="str">
        <f ca="1">IFERROR(__xludf.DUMMYFUNCTION("""COMPUTED_VALUE"""),"SE")</f>
        <v>SE</v>
      </c>
      <c r="E61" s="24" t="str">
        <f ca="1">IFERROR(__xludf.DUMMYFUNCTION("""COMPUTED_VALUE"""),"")</f>
        <v/>
      </c>
      <c r="F61" s="24">
        <f ca="1">IFERROR(__xludf.DUMMYFUNCTION("""COMPUTED_VALUE"""),1821075)</f>
        <v>1821075</v>
      </c>
      <c r="G61" s="24" t="str">
        <f ca="1">IFERROR(__xludf.DUMMYFUNCTION("""COMPUTED_VALUE"""),"Ms.")</f>
        <v>Ms.</v>
      </c>
      <c r="H61" s="25" t="str">
        <f ca="1">IFERROR(__xludf.DUMMYFUNCTION("""COMPUTED_VALUE"""),"Awale Swati Hanmant")</f>
        <v>Awale Swati Hanmant</v>
      </c>
      <c r="I61" s="24" t="str">
        <f ca="1">IFERROR(__xludf.DUMMYFUNCTION("""COMPUTED_VALUE"""),"")</f>
        <v/>
      </c>
      <c r="J61" s="25" t="str">
        <f ca="1">IFERROR(__xludf.DUMMYFUNCTION("""COMPUTED_VALUE"""),"Awale")</f>
        <v>Awale</v>
      </c>
      <c r="K61" s="25" t="str">
        <f ca="1">IFERROR(__xludf.DUMMYFUNCTION("""COMPUTED_VALUE"""),"Swati")</f>
        <v>Swati</v>
      </c>
      <c r="L61" s="25" t="str">
        <f ca="1">IFERROR(__xludf.DUMMYFUNCTION("""COMPUTED_VALUE"""),"Hanmant")</f>
        <v>Hanmant</v>
      </c>
      <c r="M61" s="25" t="str">
        <f ca="1">IFERROR(__xludf.DUMMYFUNCTION("""COMPUTED_VALUE"""),"Awale Swati Hanmant")</f>
        <v>Awale Swati Hanmant</v>
      </c>
      <c r="N61" s="25" t="str">
        <f ca="1">IFERROR(__xludf.DUMMYFUNCTION("""COMPUTED_VALUE"""),"Awale Swati H.")</f>
        <v>Awale Swati H.</v>
      </c>
      <c r="O61" s="25" t="str">
        <f ca="1">IFERROR(__xludf.DUMMYFUNCTION("""COMPUTED_VALUE"""),"Awale S. H.")</f>
        <v>Awale S. H.</v>
      </c>
      <c r="P61" s="24" t="str">
        <f ca="1">IFERROR(__xludf.DUMMYFUNCTION("""COMPUTED_VALUE"""),"REG")</f>
        <v>REG</v>
      </c>
      <c r="Q61" s="26" t="str">
        <f ca="1">IFERROR(__xludf.DUMMYFUNCTION("""COMPUTED_VALUE"""),"")</f>
        <v/>
      </c>
      <c r="R61" s="26" t="str">
        <f ca="1">IFERROR(__xludf.DUMMYFUNCTION("""COMPUTED_VALUE"""),"")</f>
        <v/>
      </c>
      <c r="S61" s="26" t="str">
        <f ca="1">IFERROR(__xludf.DUMMYFUNCTION("""COMPUTED_VALUE"""),"")</f>
        <v/>
      </c>
      <c r="T61" s="24" t="str">
        <f ca="1">IFERROR(__xludf.DUMMYFUNCTION("""COMPUTED_VALUE"""),"OPEN")</f>
        <v>OPEN</v>
      </c>
      <c r="U61" s="24" t="str">
        <f ca="1">IFERROR(__xludf.DUMMYFUNCTION("""COMPUTED_VALUE"""),"F")</f>
        <v>F</v>
      </c>
      <c r="V61" s="24">
        <f ca="1">IFERROR(__xludf.DUMMYFUNCTION("""COMPUTED_VALUE"""),2018)</f>
        <v>2018</v>
      </c>
      <c r="W61" s="25" t="str">
        <f ca="1">IFERROR(__xludf.DUMMYFUNCTION("""COMPUTED_VALUE"""),"At.Wadmurambi Tq.Deoni Dist.Latur Pin.413519")</f>
        <v>At.Wadmurambi Tq.Deoni Dist.Latur Pin.413519</v>
      </c>
      <c r="X61" s="24">
        <f ca="1">IFERROR(__xludf.DUMMYFUNCTION("""COMPUTED_VALUE"""),9403668327)</f>
        <v>9403668327</v>
      </c>
      <c r="Y61" s="24">
        <f ca="1">IFERROR(__xludf.DUMMYFUNCTION("""COMPUTED_VALUE"""),7058473671)</f>
        <v>7058473671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>
      <c r="A62" s="22">
        <v>57</v>
      </c>
      <c r="B62" s="27">
        <f ca="1">IFERROR(__xludf.DUMMYFUNCTION("""COMPUTED_VALUE"""),929)</f>
        <v>929</v>
      </c>
      <c r="C62" s="24" t="str">
        <f ca="1">IFERROR(__xludf.DUMMYFUNCTION("""COMPUTED_VALUE"""),"COMP")</f>
        <v>COMP</v>
      </c>
      <c r="D62" s="24" t="str">
        <f ca="1">IFERROR(__xludf.DUMMYFUNCTION("""COMPUTED_VALUE"""),"SE")</f>
        <v>SE</v>
      </c>
      <c r="E62" s="24" t="str">
        <f ca="1">IFERROR(__xludf.DUMMYFUNCTION("""COMPUTED_VALUE"""),"")</f>
        <v/>
      </c>
      <c r="F62" s="24">
        <f ca="1">IFERROR(__xludf.DUMMYFUNCTION("""COMPUTED_VALUE"""),1821076)</f>
        <v>1821076</v>
      </c>
      <c r="G62" s="24" t="str">
        <f ca="1">IFERROR(__xludf.DUMMYFUNCTION("""COMPUTED_VALUE"""),"Ms.")</f>
        <v>Ms.</v>
      </c>
      <c r="H62" s="25" t="str">
        <f ca="1">IFERROR(__xludf.DUMMYFUNCTION("""COMPUTED_VALUE"""),"Bahadurkar Aishwarya Jayprakash")</f>
        <v>Bahadurkar Aishwarya Jayprakash</v>
      </c>
      <c r="I62" s="24" t="str">
        <f ca="1">IFERROR(__xludf.DUMMYFUNCTION("""COMPUTED_VALUE"""),"")</f>
        <v/>
      </c>
      <c r="J62" s="25" t="str">
        <f ca="1">IFERROR(__xludf.DUMMYFUNCTION("""COMPUTED_VALUE"""),"Bahadurkar")</f>
        <v>Bahadurkar</v>
      </c>
      <c r="K62" s="25" t="str">
        <f ca="1">IFERROR(__xludf.DUMMYFUNCTION("""COMPUTED_VALUE"""),"Aishwarya")</f>
        <v>Aishwarya</v>
      </c>
      <c r="L62" s="25" t="str">
        <f ca="1">IFERROR(__xludf.DUMMYFUNCTION("""COMPUTED_VALUE"""),"Jayprakash")</f>
        <v>Jayprakash</v>
      </c>
      <c r="M62" s="25" t="str">
        <f ca="1">IFERROR(__xludf.DUMMYFUNCTION("""COMPUTED_VALUE"""),"Bahadurkar Aishwarya Jayprakash")</f>
        <v>Bahadurkar Aishwarya Jayprakash</v>
      </c>
      <c r="N62" s="25" t="str">
        <f ca="1">IFERROR(__xludf.DUMMYFUNCTION("""COMPUTED_VALUE"""),"Bahadurkar Aishwarya J.")</f>
        <v>Bahadurkar Aishwarya J.</v>
      </c>
      <c r="O62" s="25" t="str">
        <f ca="1">IFERROR(__xludf.DUMMYFUNCTION("""COMPUTED_VALUE"""),"Bahadurkar A. J.")</f>
        <v>Bahadurkar A. J.</v>
      </c>
      <c r="P62" s="24" t="str">
        <f ca="1">IFERROR(__xludf.DUMMYFUNCTION("""COMPUTED_VALUE"""),"REG")</f>
        <v>REG</v>
      </c>
      <c r="Q62" s="26" t="str">
        <f ca="1">IFERROR(__xludf.DUMMYFUNCTION("""COMPUTED_VALUE"""),"")</f>
        <v/>
      </c>
      <c r="R62" s="26" t="str">
        <f ca="1">IFERROR(__xludf.DUMMYFUNCTION("""COMPUTED_VALUE"""),"")</f>
        <v/>
      </c>
      <c r="S62" s="26" t="str">
        <f ca="1">IFERROR(__xludf.DUMMYFUNCTION("""COMPUTED_VALUE"""),"")</f>
        <v/>
      </c>
      <c r="T62" s="24" t="str">
        <f ca="1">IFERROR(__xludf.DUMMYFUNCTION("""COMPUTED_VALUE"""),"NT1")</f>
        <v>NT1</v>
      </c>
      <c r="U62" s="24" t="str">
        <f ca="1">IFERROR(__xludf.DUMMYFUNCTION("""COMPUTED_VALUE"""),"F")</f>
        <v>F</v>
      </c>
      <c r="V62" s="24">
        <f ca="1">IFERROR(__xludf.DUMMYFUNCTION("""COMPUTED_VALUE"""),2018)</f>
        <v>2018</v>
      </c>
      <c r="W62" s="25" t="str">
        <f ca="1">IFERROR(__xludf.DUMMYFUNCTION("""COMPUTED_VALUE"""),"A/P: Satwaji Nagar , Near Ganesh Bhaji Mandai, Tal: Baramati, Baramati,Pune,Maharashtra-413102")</f>
        <v>A/P: Satwaji Nagar , Near Ganesh Bhaji Mandai, Tal: Baramati, Baramati,Pune,Maharashtra-413102</v>
      </c>
      <c r="X62" s="24">
        <f ca="1">IFERROR(__xludf.DUMMYFUNCTION("""COMPUTED_VALUE"""),9527690104)</f>
        <v>9527690104</v>
      </c>
      <c r="Y62" s="24">
        <f ca="1">IFERROR(__xludf.DUMMYFUNCTION("""COMPUTED_VALUE"""),9527690104)</f>
        <v>9527690104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>
      <c r="A63" s="22">
        <v>58</v>
      </c>
      <c r="B63" s="27">
        <f ca="1">IFERROR(__xludf.DUMMYFUNCTION("""COMPUTED_VALUE"""),930)</f>
        <v>930</v>
      </c>
      <c r="C63" s="24" t="str">
        <f ca="1">IFERROR(__xludf.DUMMYFUNCTION("""COMPUTED_VALUE"""),"COMP")</f>
        <v>COMP</v>
      </c>
      <c r="D63" s="24" t="str">
        <f ca="1">IFERROR(__xludf.DUMMYFUNCTION("""COMPUTED_VALUE"""),"SE")</f>
        <v>SE</v>
      </c>
      <c r="E63" s="24" t="str">
        <f ca="1">IFERROR(__xludf.DUMMYFUNCTION("""COMPUTED_VALUE"""),"")</f>
        <v/>
      </c>
      <c r="F63" s="24">
        <f ca="1">IFERROR(__xludf.DUMMYFUNCTION("""COMPUTED_VALUE"""),1821077)</f>
        <v>1821077</v>
      </c>
      <c r="G63" s="24" t="str">
        <f ca="1">IFERROR(__xludf.DUMMYFUNCTION("""COMPUTED_VALUE"""),"Mr.")</f>
        <v>Mr.</v>
      </c>
      <c r="H63" s="25" t="str">
        <f ca="1">IFERROR(__xludf.DUMMYFUNCTION("""COMPUTED_VALUE"""),"Chamle Mukesh Shivaji")</f>
        <v>Chamle Mukesh Shivaji</v>
      </c>
      <c r="I63" s="24" t="str">
        <f ca="1">IFERROR(__xludf.DUMMYFUNCTION("""COMPUTED_VALUE"""),"")</f>
        <v/>
      </c>
      <c r="J63" s="25" t="str">
        <f ca="1">IFERROR(__xludf.DUMMYFUNCTION("""COMPUTED_VALUE"""),"Chamle")</f>
        <v>Chamle</v>
      </c>
      <c r="K63" s="25" t="str">
        <f ca="1">IFERROR(__xludf.DUMMYFUNCTION("""COMPUTED_VALUE"""),"Mukesh")</f>
        <v>Mukesh</v>
      </c>
      <c r="L63" s="25" t="str">
        <f ca="1">IFERROR(__xludf.DUMMYFUNCTION("""COMPUTED_VALUE"""),"Shivaji")</f>
        <v>Shivaji</v>
      </c>
      <c r="M63" s="25" t="str">
        <f ca="1">IFERROR(__xludf.DUMMYFUNCTION("""COMPUTED_VALUE"""),"Chamle Mukesh Shivaji")</f>
        <v>Chamle Mukesh Shivaji</v>
      </c>
      <c r="N63" s="25" t="str">
        <f ca="1">IFERROR(__xludf.DUMMYFUNCTION("""COMPUTED_VALUE"""),"Chamle Mukesh S.")</f>
        <v>Chamle Mukesh S.</v>
      </c>
      <c r="O63" s="25" t="str">
        <f ca="1">IFERROR(__xludf.DUMMYFUNCTION("""COMPUTED_VALUE"""),"Chamle M. S.")</f>
        <v>Chamle M. S.</v>
      </c>
      <c r="P63" s="24" t="str">
        <f ca="1">IFERROR(__xludf.DUMMYFUNCTION("""COMPUTED_VALUE"""),"REG")</f>
        <v>REG</v>
      </c>
      <c r="Q63" s="26" t="str">
        <f ca="1">IFERROR(__xludf.DUMMYFUNCTION("""COMPUTED_VALUE"""),"")</f>
        <v/>
      </c>
      <c r="R63" s="26" t="str">
        <f ca="1">IFERROR(__xludf.DUMMYFUNCTION("""COMPUTED_VALUE"""),"")</f>
        <v/>
      </c>
      <c r="S63" s="26" t="str">
        <f ca="1">IFERROR(__xludf.DUMMYFUNCTION("""COMPUTED_VALUE"""),"")</f>
        <v/>
      </c>
      <c r="T63" s="24" t="str">
        <f ca="1">IFERROR(__xludf.DUMMYFUNCTION("""COMPUTED_VALUE"""),"OBC")</f>
        <v>OBC</v>
      </c>
      <c r="U63" s="24" t="str">
        <f ca="1">IFERROR(__xludf.DUMMYFUNCTION("""COMPUTED_VALUE"""),"M")</f>
        <v>M</v>
      </c>
      <c r="V63" s="24">
        <f ca="1">IFERROR(__xludf.DUMMYFUNCTION("""COMPUTED_VALUE"""),2018)</f>
        <v>2018</v>
      </c>
      <c r="W63" s="25" t="str">
        <f ca="1">IFERROR(__xludf.DUMMYFUNCTION("""COMPUTED_VALUE"""),"Kalmugali Tq.Nilanga Dist Latur Pin 413522")</f>
        <v>Kalmugali Tq.Nilanga Dist Latur Pin 413522</v>
      </c>
      <c r="X63" s="24">
        <f ca="1">IFERROR(__xludf.DUMMYFUNCTION("""COMPUTED_VALUE"""),9970009591)</f>
        <v>9970009591</v>
      </c>
      <c r="Y63" s="24">
        <f ca="1">IFERROR(__xludf.DUMMYFUNCTION("""COMPUTED_VALUE"""),9970009591)</f>
        <v>9970009591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>
      <c r="A64" s="22">
        <v>59</v>
      </c>
      <c r="B64" s="27">
        <f ca="1">IFERROR(__xludf.DUMMYFUNCTION("""COMPUTED_VALUE"""),931)</f>
        <v>931</v>
      </c>
      <c r="C64" s="24" t="str">
        <f ca="1">IFERROR(__xludf.DUMMYFUNCTION("""COMPUTED_VALUE"""),"COMP")</f>
        <v>COMP</v>
      </c>
      <c r="D64" s="24" t="str">
        <f ca="1">IFERROR(__xludf.DUMMYFUNCTION("""COMPUTED_VALUE"""),"SE")</f>
        <v>SE</v>
      </c>
      <c r="E64" s="24" t="str">
        <f ca="1">IFERROR(__xludf.DUMMYFUNCTION("""COMPUTED_VALUE"""),"")</f>
        <v/>
      </c>
      <c r="F64" s="24">
        <f ca="1">IFERROR(__xludf.DUMMYFUNCTION("""COMPUTED_VALUE"""),1821078)</f>
        <v>1821078</v>
      </c>
      <c r="G64" s="24" t="str">
        <f ca="1">IFERROR(__xludf.DUMMYFUNCTION("""COMPUTED_VALUE"""),"Ms.")</f>
        <v>Ms.</v>
      </c>
      <c r="H64" s="25" t="str">
        <f ca="1">IFERROR(__xludf.DUMMYFUNCTION("""COMPUTED_VALUE"""),"Gaikwad Vaishnavi Rajesh")</f>
        <v>Gaikwad Vaishnavi Rajesh</v>
      </c>
      <c r="I64" s="24" t="str">
        <f ca="1">IFERROR(__xludf.DUMMYFUNCTION("""COMPUTED_VALUE"""),"")</f>
        <v/>
      </c>
      <c r="J64" s="25" t="str">
        <f ca="1">IFERROR(__xludf.DUMMYFUNCTION("""COMPUTED_VALUE"""),"Gaikwad")</f>
        <v>Gaikwad</v>
      </c>
      <c r="K64" s="25" t="str">
        <f ca="1">IFERROR(__xludf.DUMMYFUNCTION("""COMPUTED_VALUE"""),"Vaishnavi")</f>
        <v>Vaishnavi</v>
      </c>
      <c r="L64" s="25" t="str">
        <f ca="1">IFERROR(__xludf.DUMMYFUNCTION("""COMPUTED_VALUE"""),"Rajesh")</f>
        <v>Rajesh</v>
      </c>
      <c r="M64" s="25" t="str">
        <f ca="1">IFERROR(__xludf.DUMMYFUNCTION("""COMPUTED_VALUE"""),"Gaikwad Vaishnavi Rajesh")</f>
        <v>Gaikwad Vaishnavi Rajesh</v>
      </c>
      <c r="N64" s="25" t="str">
        <f ca="1">IFERROR(__xludf.DUMMYFUNCTION("""COMPUTED_VALUE"""),"Gaikwad Vaishnavi R.")</f>
        <v>Gaikwad Vaishnavi R.</v>
      </c>
      <c r="O64" s="25" t="str">
        <f ca="1">IFERROR(__xludf.DUMMYFUNCTION("""COMPUTED_VALUE"""),"Gaikwad V. R.")</f>
        <v>Gaikwad V. R.</v>
      </c>
      <c r="P64" s="24" t="str">
        <f ca="1">IFERROR(__xludf.DUMMYFUNCTION("""COMPUTED_VALUE"""),"REG")</f>
        <v>REG</v>
      </c>
      <c r="Q64" s="26" t="str">
        <f ca="1">IFERROR(__xludf.DUMMYFUNCTION("""COMPUTED_VALUE"""),"")</f>
        <v/>
      </c>
      <c r="R64" s="26" t="str">
        <f ca="1">IFERROR(__xludf.DUMMYFUNCTION("""COMPUTED_VALUE"""),"")</f>
        <v/>
      </c>
      <c r="S64" s="26" t="str">
        <f ca="1">IFERROR(__xludf.DUMMYFUNCTION("""COMPUTED_VALUE"""),"")</f>
        <v/>
      </c>
      <c r="T64" s="24" t="str">
        <f ca="1">IFERROR(__xludf.DUMMYFUNCTION("""COMPUTED_VALUE"""),"OPEN")</f>
        <v>OPEN</v>
      </c>
      <c r="U64" s="24" t="str">
        <f ca="1">IFERROR(__xludf.DUMMYFUNCTION("""COMPUTED_VALUE"""),"F")</f>
        <v>F</v>
      </c>
      <c r="V64" s="24">
        <f ca="1">IFERROR(__xludf.DUMMYFUNCTION("""COMPUTED_VALUE"""),2018)</f>
        <v>2018</v>
      </c>
      <c r="W64" s="25" t="str">
        <f ca="1">IFERROR(__xludf.DUMMYFUNCTION("""COMPUTED_VALUE"""),"A/P. Karanjepul Someshwarnagar Tal.Baramati Dist. Pune")</f>
        <v>A/P. Karanjepul Someshwarnagar Tal.Baramati Dist. Pune</v>
      </c>
      <c r="X64" s="24">
        <f ca="1">IFERROR(__xludf.DUMMYFUNCTION("""COMPUTED_VALUE"""),8007690747)</f>
        <v>8007690747</v>
      </c>
      <c r="Y64" s="24">
        <f ca="1">IFERROR(__xludf.DUMMYFUNCTION("""COMPUTED_VALUE"""),8007690747)</f>
        <v>8007690747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>
      <c r="A65" s="22">
        <v>60</v>
      </c>
      <c r="B65" s="27">
        <f ca="1">IFERROR(__xludf.DUMMYFUNCTION("""COMPUTED_VALUE"""),932)</f>
        <v>932</v>
      </c>
      <c r="C65" s="24" t="str">
        <f ca="1">IFERROR(__xludf.DUMMYFUNCTION("""COMPUTED_VALUE"""),"COMP")</f>
        <v>COMP</v>
      </c>
      <c r="D65" s="24" t="str">
        <f ca="1">IFERROR(__xludf.DUMMYFUNCTION("""COMPUTED_VALUE"""),"SE")</f>
        <v>SE</v>
      </c>
      <c r="E65" s="24" t="str">
        <f ca="1">IFERROR(__xludf.DUMMYFUNCTION("""COMPUTED_VALUE"""),"")</f>
        <v/>
      </c>
      <c r="F65" s="24">
        <f ca="1">IFERROR(__xludf.DUMMYFUNCTION("""COMPUTED_VALUE"""),1821079)</f>
        <v>1821079</v>
      </c>
      <c r="G65" s="24" t="str">
        <f ca="1">IFERROR(__xludf.DUMMYFUNCTION("""COMPUTED_VALUE"""),"Ms.")</f>
        <v>Ms.</v>
      </c>
      <c r="H65" s="25" t="str">
        <f ca="1">IFERROR(__xludf.DUMMYFUNCTION("""COMPUTED_VALUE"""),"Ghule Sonali Vilas")</f>
        <v>Ghule Sonali Vilas</v>
      </c>
      <c r="I65" s="24" t="str">
        <f ca="1">IFERROR(__xludf.DUMMYFUNCTION("""COMPUTED_VALUE"""),"")</f>
        <v/>
      </c>
      <c r="J65" s="25" t="str">
        <f ca="1">IFERROR(__xludf.DUMMYFUNCTION("""COMPUTED_VALUE"""),"Ghule")</f>
        <v>Ghule</v>
      </c>
      <c r="K65" s="25" t="str">
        <f ca="1">IFERROR(__xludf.DUMMYFUNCTION("""COMPUTED_VALUE"""),"Sonali")</f>
        <v>Sonali</v>
      </c>
      <c r="L65" s="25" t="str">
        <f ca="1">IFERROR(__xludf.DUMMYFUNCTION("""COMPUTED_VALUE"""),"Vilas")</f>
        <v>Vilas</v>
      </c>
      <c r="M65" s="25" t="str">
        <f ca="1">IFERROR(__xludf.DUMMYFUNCTION("""COMPUTED_VALUE"""),"Ghule Sonali Vilas")</f>
        <v>Ghule Sonali Vilas</v>
      </c>
      <c r="N65" s="25" t="str">
        <f ca="1">IFERROR(__xludf.DUMMYFUNCTION("""COMPUTED_VALUE"""),"Ghule Sonali V.")</f>
        <v>Ghule Sonali V.</v>
      </c>
      <c r="O65" s="25" t="str">
        <f ca="1">IFERROR(__xludf.DUMMYFUNCTION("""COMPUTED_VALUE"""),"Ghule S. V.")</f>
        <v>Ghule S. V.</v>
      </c>
      <c r="P65" s="24" t="str">
        <f ca="1">IFERROR(__xludf.DUMMYFUNCTION("""COMPUTED_VALUE"""),"REG")</f>
        <v>REG</v>
      </c>
      <c r="Q65" s="26" t="str">
        <f ca="1">IFERROR(__xludf.DUMMYFUNCTION("""COMPUTED_VALUE"""),"")</f>
        <v/>
      </c>
      <c r="R65" s="26" t="str">
        <f ca="1">IFERROR(__xludf.DUMMYFUNCTION("""COMPUTED_VALUE"""),"")</f>
        <v/>
      </c>
      <c r="S65" s="26" t="str">
        <f ca="1">IFERROR(__xludf.DUMMYFUNCTION("""COMPUTED_VALUE"""),"")</f>
        <v/>
      </c>
      <c r="T65" s="24" t="str">
        <f ca="1">IFERROR(__xludf.DUMMYFUNCTION("""COMPUTED_VALUE"""),"NT2")</f>
        <v>NT2</v>
      </c>
      <c r="U65" s="24" t="str">
        <f ca="1">IFERROR(__xludf.DUMMYFUNCTION("""COMPUTED_VALUE"""),"F")</f>
        <v>F</v>
      </c>
      <c r="V65" s="24">
        <f ca="1">IFERROR(__xludf.DUMMYFUNCTION("""COMPUTED_VALUE"""),2018)</f>
        <v>2018</v>
      </c>
      <c r="W65" s="25" t="str">
        <f ca="1">IFERROR(__xludf.DUMMYFUNCTION("""COMPUTED_VALUE"""),"A/P Dhekalwadi,Tal-Baramati,Dist-Pune,413104")</f>
        <v>A/P Dhekalwadi,Tal-Baramati,Dist-Pune,413104</v>
      </c>
      <c r="X65" s="24">
        <f ca="1">IFERROR(__xludf.DUMMYFUNCTION("""COMPUTED_VALUE"""),9011103564)</f>
        <v>9011103564</v>
      </c>
      <c r="Y65" s="24">
        <f ca="1">IFERROR(__xludf.DUMMYFUNCTION("""COMPUTED_VALUE"""),9881502453)</f>
        <v>9881502453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>
      <c r="A66" s="22">
        <v>61</v>
      </c>
      <c r="B66" s="27">
        <f ca="1">IFERROR(__xludf.DUMMYFUNCTION("""COMPUTED_VALUE"""),933)</f>
        <v>933</v>
      </c>
      <c r="C66" s="24" t="str">
        <f ca="1">IFERROR(__xludf.DUMMYFUNCTION("""COMPUTED_VALUE"""),"COMP")</f>
        <v>COMP</v>
      </c>
      <c r="D66" s="24" t="str">
        <f ca="1">IFERROR(__xludf.DUMMYFUNCTION("""COMPUTED_VALUE"""),"SE")</f>
        <v>SE</v>
      </c>
      <c r="E66" s="24" t="str">
        <f ca="1">IFERROR(__xludf.DUMMYFUNCTION("""COMPUTED_VALUE"""),"")</f>
        <v/>
      </c>
      <c r="F66" s="24">
        <f ca="1">IFERROR(__xludf.DUMMYFUNCTION("""COMPUTED_VALUE"""),1821080)</f>
        <v>1821080</v>
      </c>
      <c r="G66" s="24" t="str">
        <f ca="1">IFERROR(__xludf.DUMMYFUNCTION("""COMPUTED_VALUE"""),"Ms.")</f>
        <v>Ms.</v>
      </c>
      <c r="H66" s="25" t="str">
        <f ca="1">IFERROR(__xludf.DUMMYFUNCTION("""COMPUTED_VALUE"""),"Harke Pratidnya Nilkanth")</f>
        <v>Harke Pratidnya Nilkanth</v>
      </c>
      <c r="I66" s="24" t="str">
        <f ca="1">IFERROR(__xludf.DUMMYFUNCTION("""COMPUTED_VALUE"""),"")</f>
        <v/>
      </c>
      <c r="J66" s="25" t="str">
        <f ca="1">IFERROR(__xludf.DUMMYFUNCTION("""COMPUTED_VALUE"""),"Harke")</f>
        <v>Harke</v>
      </c>
      <c r="K66" s="25" t="str">
        <f ca="1">IFERROR(__xludf.DUMMYFUNCTION("""COMPUTED_VALUE"""),"Pratidnya")</f>
        <v>Pratidnya</v>
      </c>
      <c r="L66" s="25" t="str">
        <f ca="1">IFERROR(__xludf.DUMMYFUNCTION("""COMPUTED_VALUE"""),"Nilkanth")</f>
        <v>Nilkanth</v>
      </c>
      <c r="M66" s="25" t="str">
        <f ca="1">IFERROR(__xludf.DUMMYFUNCTION("""COMPUTED_VALUE"""),"Harke Pratidnya Nilkanth")</f>
        <v>Harke Pratidnya Nilkanth</v>
      </c>
      <c r="N66" s="25" t="str">
        <f ca="1">IFERROR(__xludf.DUMMYFUNCTION("""COMPUTED_VALUE"""),"Harke Pratidnya N.")</f>
        <v>Harke Pratidnya N.</v>
      </c>
      <c r="O66" s="25" t="str">
        <f ca="1">IFERROR(__xludf.DUMMYFUNCTION("""COMPUTED_VALUE"""),"Harke P. N.")</f>
        <v>Harke P. N.</v>
      </c>
      <c r="P66" s="24" t="str">
        <f ca="1">IFERROR(__xludf.DUMMYFUNCTION("""COMPUTED_VALUE"""),"REG")</f>
        <v>REG</v>
      </c>
      <c r="Q66" s="26" t="str">
        <f ca="1">IFERROR(__xludf.DUMMYFUNCTION("""COMPUTED_VALUE"""),"")</f>
        <v/>
      </c>
      <c r="R66" s="26" t="str">
        <f ca="1">IFERROR(__xludf.DUMMYFUNCTION("""COMPUTED_VALUE"""),"")</f>
        <v/>
      </c>
      <c r="S66" s="26" t="str">
        <f ca="1">IFERROR(__xludf.DUMMYFUNCTION("""COMPUTED_VALUE"""),"")</f>
        <v/>
      </c>
      <c r="T66" s="24" t="str">
        <f ca="1">IFERROR(__xludf.DUMMYFUNCTION("""COMPUTED_VALUE"""),"SBC")</f>
        <v>SBC</v>
      </c>
      <c r="U66" s="24" t="str">
        <f ca="1">IFERROR(__xludf.DUMMYFUNCTION("""COMPUTED_VALUE"""),"F")</f>
        <v>F</v>
      </c>
      <c r="V66" s="24">
        <f ca="1">IFERROR(__xludf.DUMMYFUNCTION("""COMPUTED_VALUE"""),2018)</f>
        <v>2018</v>
      </c>
      <c r="W66" s="25" t="str">
        <f ca="1">IFERROR(__xludf.DUMMYFUNCTION("""COMPUTED_VALUE"""),"Near Ausa Hauman Mandir,Juni Saraf Galli ,Latur 413512")</f>
        <v>Near Ausa Hauman Mandir,Juni Saraf Galli ,Latur 413512</v>
      </c>
      <c r="X66" s="24">
        <f ca="1">IFERROR(__xludf.DUMMYFUNCTION("""COMPUTED_VALUE"""),9890585137)</f>
        <v>9890585137</v>
      </c>
      <c r="Y66" s="24">
        <f ca="1">IFERROR(__xludf.DUMMYFUNCTION("""COMPUTED_VALUE"""),9890585137)</f>
        <v>9890585137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>
      <c r="A67" s="22">
        <v>62</v>
      </c>
      <c r="B67" s="27">
        <f ca="1">IFERROR(__xludf.DUMMYFUNCTION("""COMPUTED_VALUE"""),934)</f>
        <v>934</v>
      </c>
      <c r="C67" s="24" t="str">
        <f ca="1">IFERROR(__xludf.DUMMYFUNCTION("""COMPUTED_VALUE"""),"COMP")</f>
        <v>COMP</v>
      </c>
      <c r="D67" s="24" t="str">
        <f ca="1">IFERROR(__xludf.DUMMYFUNCTION("""COMPUTED_VALUE"""),"SE")</f>
        <v>SE</v>
      </c>
      <c r="E67" s="24" t="str">
        <f ca="1">IFERROR(__xludf.DUMMYFUNCTION("""COMPUTED_VALUE"""),"")</f>
        <v/>
      </c>
      <c r="F67" s="24">
        <f ca="1">IFERROR(__xludf.DUMMYFUNCTION("""COMPUTED_VALUE"""),1821081)</f>
        <v>1821081</v>
      </c>
      <c r="G67" s="24" t="str">
        <f ca="1">IFERROR(__xludf.DUMMYFUNCTION("""COMPUTED_VALUE"""),"Ms.")</f>
        <v>Ms.</v>
      </c>
      <c r="H67" s="25" t="str">
        <f ca="1">IFERROR(__xludf.DUMMYFUNCTION("""COMPUTED_VALUE"""),"Jagtap Chaitrali Kashinaath")</f>
        <v>Jagtap Chaitrali Kashinaath</v>
      </c>
      <c r="I67" s="24" t="str">
        <f ca="1">IFERROR(__xludf.DUMMYFUNCTION("""COMPUTED_VALUE"""),"")</f>
        <v/>
      </c>
      <c r="J67" s="25" t="str">
        <f ca="1">IFERROR(__xludf.DUMMYFUNCTION("""COMPUTED_VALUE"""),"Jagtap")</f>
        <v>Jagtap</v>
      </c>
      <c r="K67" s="25" t="str">
        <f ca="1">IFERROR(__xludf.DUMMYFUNCTION("""COMPUTED_VALUE"""),"Chaitrali")</f>
        <v>Chaitrali</v>
      </c>
      <c r="L67" s="25" t="str">
        <f ca="1">IFERROR(__xludf.DUMMYFUNCTION("""COMPUTED_VALUE"""),"Kashinaath")</f>
        <v>Kashinaath</v>
      </c>
      <c r="M67" s="25" t="str">
        <f ca="1">IFERROR(__xludf.DUMMYFUNCTION("""COMPUTED_VALUE"""),"Jagtap Chaitrali Kashinaath")</f>
        <v>Jagtap Chaitrali Kashinaath</v>
      </c>
      <c r="N67" s="25" t="str">
        <f ca="1">IFERROR(__xludf.DUMMYFUNCTION("""COMPUTED_VALUE"""),"Jagtap Chaitrali K.")</f>
        <v>Jagtap Chaitrali K.</v>
      </c>
      <c r="O67" s="25" t="str">
        <f ca="1">IFERROR(__xludf.DUMMYFUNCTION("""COMPUTED_VALUE"""),"Jagtap C. K.")</f>
        <v>Jagtap C. K.</v>
      </c>
      <c r="P67" s="24" t="str">
        <f ca="1">IFERROR(__xludf.DUMMYFUNCTION("""COMPUTED_VALUE"""),"REG")</f>
        <v>REG</v>
      </c>
      <c r="Q67" s="26" t="str">
        <f ca="1">IFERROR(__xludf.DUMMYFUNCTION("""COMPUTED_VALUE"""),"")</f>
        <v/>
      </c>
      <c r="R67" s="26" t="str">
        <f ca="1">IFERROR(__xludf.DUMMYFUNCTION("""COMPUTED_VALUE"""),"")</f>
        <v/>
      </c>
      <c r="S67" s="26" t="str">
        <f ca="1">IFERROR(__xludf.DUMMYFUNCTION("""COMPUTED_VALUE"""),"")</f>
        <v/>
      </c>
      <c r="T67" s="24" t="str">
        <f ca="1">IFERROR(__xludf.DUMMYFUNCTION("""COMPUTED_VALUE"""),"OPEN")</f>
        <v>OPEN</v>
      </c>
      <c r="U67" s="24" t="str">
        <f ca="1">IFERROR(__xludf.DUMMYFUNCTION("""COMPUTED_VALUE"""),"F")</f>
        <v>F</v>
      </c>
      <c r="V67" s="24">
        <f ca="1">IFERROR(__xludf.DUMMYFUNCTION("""COMPUTED_VALUE"""),2018)</f>
        <v>2018</v>
      </c>
      <c r="W67" s="25" t="str">
        <f ca="1">IFERROR(__xludf.DUMMYFUNCTION("""COMPUTED_VALUE"""),"A/P Karkhel, Tal-Baramati, Dist-Pune, Pin- 413102.")</f>
        <v>A/P Karkhel, Tal-Baramati, Dist-Pune, Pin- 413102.</v>
      </c>
      <c r="X67" s="24">
        <f ca="1">IFERROR(__xludf.DUMMYFUNCTION("""COMPUTED_VALUE"""),9970068470)</f>
        <v>9970068470</v>
      </c>
      <c r="Y67" s="24">
        <f ca="1">IFERROR(__xludf.DUMMYFUNCTION("""COMPUTED_VALUE"""),7218091195)</f>
        <v>7218091195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>
      <c r="A68" s="22">
        <v>63</v>
      </c>
      <c r="B68" s="27">
        <f ca="1">IFERROR(__xludf.DUMMYFUNCTION("""COMPUTED_VALUE"""),935)</f>
        <v>935</v>
      </c>
      <c r="C68" s="24" t="str">
        <f ca="1">IFERROR(__xludf.DUMMYFUNCTION("""COMPUTED_VALUE"""),"COMP")</f>
        <v>COMP</v>
      </c>
      <c r="D68" s="24" t="str">
        <f ca="1">IFERROR(__xludf.DUMMYFUNCTION("""COMPUTED_VALUE"""),"SE")</f>
        <v>SE</v>
      </c>
      <c r="E68" s="24" t="str">
        <f ca="1">IFERROR(__xludf.DUMMYFUNCTION("""COMPUTED_VALUE"""),"")</f>
        <v/>
      </c>
      <c r="F68" s="24">
        <f ca="1">IFERROR(__xludf.DUMMYFUNCTION("""COMPUTED_VALUE"""),1821082)</f>
        <v>1821082</v>
      </c>
      <c r="G68" s="24" t="str">
        <f ca="1">IFERROR(__xludf.DUMMYFUNCTION("""COMPUTED_VALUE"""),"Ms.")</f>
        <v>Ms.</v>
      </c>
      <c r="H68" s="25" t="str">
        <f ca="1">IFERROR(__xludf.DUMMYFUNCTION("""COMPUTED_VALUE"""),"Jagtap Dipti Dattatray")</f>
        <v>Jagtap Dipti Dattatray</v>
      </c>
      <c r="I68" s="24" t="str">
        <f ca="1">IFERROR(__xludf.DUMMYFUNCTION("""COMPUTED_VALUE"""),"")</f>
        <v/>
      </c>
      <c r="J68" s="25" t="str">
        <f ca="1">IFERROR(__xludf.DUMMYFUNCTION("""COMPUTED_VALUE"""),"Jagtap")</f>
        <v>Jagtap</v>
      </c>
      <c r="K68" s="25" t="str">
        <f ca="1">IFERROR(__xludf.DUMMYFUNCTION("""COMPUTED_VALUE"""),"Dipti")</f>
        <v>Dipti</v>
      </c>
      <c r="L68" s="25" t="str">
        <f ca="1">IFERROR(__xludf.DUMMYFUNCTION("""COMPUTED_VALUE"""),"Dattatray")</f>
        <v>Dattatray</v>
      </c>
      <c r="M68" s="25" t="str">
        <f ca="1">IFERROR(__xludf.DUMMYFUNCTION("""COMPUTED_VALUE"""),"Jagtap Dipti Dattatray")</f>
        <v>Jagtap Dipti Dattatray</v>
      </c>
      <c r="N68" s="25" t="str">
        <f ca="1">IFERROR(__xludf.DUMMYFUNCTION("""COMPUTED_VALUE"""),"Jagtap Dipti D.")</f>
        <v>Jagtap Dipti D.</v>
      </c>
      <c r="O68" s="25" t="str">
        <f ca="1">IFERROR(__xludf.DUMMYFUNCTION("""COMPUTED_VALUE"""),"Jagtap D. D.")</f>
        <v>Jagtap D. D.</v>
      </c>
      <c r="P68" s="24" t="str">
        <f ca="1">IFERROR(__xludf.DUMMYFUNCTION("""COMPUTED_VALUE"""),"REG")</f>
        <v>REG</v>
      </c>
      <c r="Q68" s="26" t="str">
        <f ca="1">IFERROR(__xludf.DUMMYFUNCTION("""COMPUTED_VALUE"""),"")</f>
        <v/>
      </c>
      <c r="R68" s="26" t="str">
        <f ca="1">IFERROR(__xludf.DUMMYFUNCTION("""COMPUTED_VALUE"""),"")</f>
        <v/>
      </c>
      <c r="S68" s="26" t="str">
        <f ca="1">IFERROR(__xludf.DUMMYFUNCTION("""COMPUTED_VALUE"""),"")</f>
        <v/>
      </c>
      <c r="T68" s="24" t="str">
        <f ca="1">IFERROR(__xludf.DUMMYFUNCTION("""COMPUTED_VALUE"""),"SC")</f>
        <v>SC</v>
      </c>
      <c r="U68" s="24" t="str">
        <f ca="1">IFERROR(__xludf.DUMMYFUNCTION("""COMPUTED_VALUE"""),"F")</f>
        <v>F</v>
      </c>
      <c r="V68" s="24">
        <f ca="1">IFERROR(__xludf.DUMMYFUNCTION("""COMPUTED_VALUE"""),2018)</f>
        <v>2018</v>
      </c>
      <c r="W68" s="25" t="str">
        <f ca="1">IFERROR(__xludf.DUMMYFUNCTION("""COMPUTED_VALUE"""),"A/P Gokhali Tal - Phaltan Dist-Satara")</f>
        <v>A/P Gokhali Tal - Phaltan Dist-Satara</v>
      </c>
      <c r="X68" s="24">
        <f ca="1">IFERROR(__xludf.DUMMYFUNCTION("""COMPUTED_VALUE"""),9860265139)</f>
        <v>9860265139</v>
      </c>
      <c r="Y68" s="24">
        <f ca="1">IFERROR(__xludf.DUMMYFUNCTION("""COMPUTED_VALUE"""),8530611961)</f>
        <v>8530611961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>
      <c r="A69" s="22">
        <v>64</v>
      </c>
      <c r="B69" s="27">
        <f ca="1">IFERROR(__xludf.DUMMYFUNCTION("""COMPUTED_VALUE"""),936)</f>
        <v>936</v>
      </c>
      <c r="C69" s="24" t="str">
        <f ca="1">IFERROR(__xludf.DUMMYFUNCTION("""COMPUTED_VALUE"""),"COMP")</f>
        <v>COMP</v>
      </c>
      <c r="D69" s="24" t="str">
        <f ca="1">IFERROR(__xludf.DUMMYFUNCTION("""COMPUTED_VALUE"""),"SE")</f>
        <v>SE</v>
      </c>
      <c r="E69" s="24" t="str">
        <f ca="1">IFERROR(__xludf.DUMMYFUNCTION("""COMPUTED_VALUE"""),"")</f>
        <v/>
      </c>
      <c r="F69" s="24">
        <f ca="1">IFERROR(__xludf.DUMMYFUNCTION("""COMPUTED_VALUE"""),1821083)</f>
        <v>1821083</v>
      </c>
      <c r="G69" s="24" t="str">
        <f ca="1">IFERROR(__xludf.DUMMYFUNCTION("""COMPUTED_VALUE"""),"Ms.")</f>
        <v>Ms.</v>
      </c>
      <c r="H69" s="25" t="str">
        <f ca="1">IFERROR(__xludf.DUMMYFUNCTION("""COMPUTED_VALUE"""),"Jawale Divya Santosh")</f>
        <v>Jawale Divya Santosh</v>
      </c>
      <c r="I69" s="24" t="str">
        <f ca="1">IFERROR(__xludf.DUMMYFUNCTION("""COMPUTED_VALUE"""),"")</f>
        <v/>
      </c>
      <c r="J69" s="25" t="str">
        <f ca="1">IFERROR(__xludf.DUMMYFUNCTION("""COMPUTED_VALUE"""),"Jawale")</f>
        <v>Jawale</v>
      </c>
      <c r="K69" s="25" t="str">
        <f ca="1">IFERROR(__xludf.DUMMYFUNCTION("""COMPUTED_VALUE"""),"Divya")</f>
        <v>Divya</v>
      </c>
      <c r="L69" s="25" t="str">
        <f ca="1">IFERROR(__xludf.DUMMYFUNCTION("""COMPUTED_VALUE"""),"Santosh")</f>
        <v>Santosh</v>
      </c>
      <c r="M69" s="25" t="str">
        <f ca="1">IFERROR(__xludf.DUMMYFUNCTION("""COMPUTED_VALUE"""),"Jawale Divya Santosh")</f>
        <v>Jawale Divya Santosh</v>
      </c>
      <c r="N69" s="25" t="str">
        <f ca="1">IFERROR(__xludf.DUMMYFUNCTION("""COMPUTED_VALUE"""),"Jawale Divya S.")</f>
        <v>Jawale Divya S.</v>
      </c>
      <c r="O69" s="25" t="str">
        <f ca="1">IFERROR(__xludf.DUMMYFUNCTION("""COMPUTED_VALUE"""),"Jawale D. S.")</f>
        <v>Jawale D. S.</v>
      </c>
      <c r="P69" s="24" t="str">
        <f ca="1">IFERROR(__xludf.DUMMYFUNCTION("""COMPUTED_VALUE"""),"REG")</f>
        <v>REG</v>
      </c>
      <c r="Q69" s="26" t="str">
        <f ca="1">IFERROR(__xludf.DUMMYFUNCTION("""COMPUTED_VALUE"""),"")</f>
        <v/>
      </c>
      <c r="R69" s="26" t="str">
        <f ca="1">IFERROR(__xludf.DUMMYFUNCTION("""COMPUTED_VALUE"""),"")</f>
        <v/>
      </c>
      <c r="S69" s="26" t="str">
        <f ca="1">IFERROR(__xludf.DUMMYFUNCTION("""COMPUTED_VALUE"""),"")</f>
        <v/>
      </c>
      <c r="T69" s="24" t="str">
        <f ca="1">IFERROR(__xludf.DUMMYFUNCTION("""COMPUTED_VALUE"""),"SC")</f>
        <v>SC</v>
      </c>
      <c r="U69" s="24" t="str">
        <f ca="1">IFERROR(__xludf.DUMMYFUNCTION("""COMPUTED_VALUE"""),"F")</f>
        <v>F</v>
      </c>
      <c r="V69" s="24">
        <f ca="1">IFERROR(__xludf.DUMMYFUNCTION("""COMPUTED_VALUE"""),2018)</f>
        <v>2018</v>
      </c>
      <c r="W69" s="25" t="str">
        <f ca="1">IFERROR(__xludf.DUMMYFUNCTION("""COMPUTED_VALUE"""),"Mohitevasti , Sangavi, Tal-Phaltan, Dist-Satara, Maharashtra. Pin 415523")</f>
        <v>Mohitevasti , Sangavi, Tal-Phaltan, Dist-Satara, Maharashtra. Pin 415523</v>
      </c>
      <c r="X69" s="24">
        <f ca="1">IFERROR(__xludf.DUMMYFUNCTION("""COMPUTED_VALUE"""),9921585309)</f>
        <v>9921585309</v>
      </c>
      <c r="Y69" s="24">
        <f ca="1">IFERROR(__xludf.DUMMYFUNCTION("""COMPUTED_VALUE"""),9673419210)</f>
        <v>9673419210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>
      <c r="A70" s="22">
        <v>65</v>
      </c>
      <c r="B70" s="27">
        <f ca="1">IFERROR(__xludf.DUMMYFUNCTION("""COMPUTED_VALUE"""),937)</f>
        <v>937</v>
      </c>
      <c r="C70" s="24" t="str">
        <f ca="1">IFERROR(__xludf.DUMMYFUNCTION("""COMPUTED_VALUE"""),"COMP")</f>
        <v>COMP</v>
      </c>
      <c r="D70" s="24" t="str">
        <f ca="1">IFERROR(__xludf.DUMMYFUNCTION("""COMPUTED_VALUE"""),"SE")</f>
        <v>SE</v>
      </c>
      <c r="E70" s="24" t="str">
        <f ca="1">IFERROR(__xludf.DUMMYFUNCTION("""COMPUTED_VALUE"""),"")</f>
        <v/>
      </c>
      <c r="F70" s="24">
        <f ca="1">IFERROR(__xludf.DUMMYFUNCTION("""COMPUTED_VALUE"""),1821084)</f>
        <v>1821084</v>
      </c>
      <c r="G70" s="24" t="str">
        <f ca="1">IFERROR(__xludf.DUMMYFUNCTION("""COMPUTED_VALUE"""),"Ms.")</f>
        <v>Ms.</v>
      </c>
      <c r="H70" s="25" t="str">
        <f ca="1">IFERROR(__xludf.DUMMYFUNCTION("""COMPUTED_VALUE"""),"Kale Bhagyashri Subhash")</f>
        <v>Kale Bhagyashri Subhash</v>
      </c>
      <c r="I70" s="24" t="str">
        <f ca="1">IFERROR(__xludf.DUMMYFUNCTION("""COMPUTED_VALUE"""),"")</f>
        <v/>
      </c>
      <c r="J70" s="25" t="str">
        <f ca="1">IFERROR(__xludf.DUMMYFUNCTION("""COMPUTED_VALUE"""),"Kale")</f>
        <v>Kale</v>
      </c>
      <c r="K70" s="25" t="str">
        <f ca="1">IFERROR(__xludf.DUMMYFUNCTION("""COMPUTED_VALUE"""),"Bhagyashri")</f>
        <v>Bhagyashri</v>
      </c>
      <c r="L70" s="25" t="str">
        <f ca="1">IFERROR(__xludf.DUMMYFUNCTION("""COMPUTED_VALUE"""),"Subhash")</f>
        <v>Subhash</v>
      </c>
      <c r="M70" s="25" t="str">
        <f ca="1">IFERROR(__xludf.DUMMYFUNCTION("""COMPUTED_VALUE"""),"Kale Bhagyashri Subhash")</f>
        <v>Kale Bhagyashri Subhash</v>
      </c>
      <c r="N70" s="25" t="str">
        <f ca="1">IFERROR(__xludf.DUMMYFUNCTION("""COMPUTED_VALUE"""),"Kale Bhagyashri S.")</f>
        <v>Kale Bhagyashri S.</v>
      </c>
      <c r="O70" s="25" t="str">
        <f ca="1">IFERROR(__xludf.DUMMYFUNCTION("""COMPUTED_VALUE"""),"Kale B. S.")</f>
        <v>Kale B. S.</v>
      </c>
      <c r="P70" s="24" t="str">
        <f ca="1">IFERROR(__xludf.DUMMYFUNCTION("""COMPUTED_VALUE"""),"REG")</f>
        <v>REG</v>
      </c>
      <c r="Q70" s="26" t="str">
        <f ca="1">IFERROR(__xludf.DUMMYFUNCTION("""COMPUTED_VALUE"""),"")</f>
        <v/>
      </c>
      <c r="R70" s="26" t="str">
        <f ca="1">IFERROR(__xludf.DUMMYFUNCTION("""COMPUTED_VALUE"""),"")</f>
        <v/>
      </c>
      <c r="S70" s="26" t="str">
        <f ca="1">IFERROR(__xludf.DUMMYFUNCTION("""COMPUTED_VALUE"""),"")</f>
        <v/>
      </c>
      <c r="T70" s="24" t="str">
        <f ca="1">IFERROR(__xludf.DUMMYFUNCTION("""COMPUTED_VALUE"""),"OBC")</f>
        <v>OBC</v>
      </c>
      <c r="U70" s="24" t="str">
        <f ca="1">IFERROR(__xludf.DUMMYFUNCTION("""COMPUTED_VALUE"""),"F")</f>
        <v>F</v>
      </c>
      <c r="V70" s="24">
        <f ca="1">IFERROR(__xludf.DUMMYFUNCTION("""COMPUTED_VALUE"""),2018)</f>
        <v>2018</v>
      </c>
      <c r="W70" s="25" t="str">
        <f ca="1">IFERROR(__xludf.DUMMYFUNCTION("""COMPUTED_VALUE"""),"At-Torkadwadi,Post-Rashin,Tal-Karjat,Dist-Ahmadnagar")</f>
        <v>At-Torkadwadi,Post-Rashin,Tal-Karjat,Dist-Ahmadnagar</v>
      </c>
      <c r="X70" s="24">
        <f ca="1">IFERROR(__xludf.DUMMYFUNCTION("""COMPUTED_VALUE"""),8975912172)</f>
        <v>8975912172</v>
      </c>
      <c r="Y70" s="24">
        <f ca="1">IFERROR(__xludf.DUMMYFUNCTION("""COMPUTED_VALUE"""),7447595002)</f>
        <v>7447595002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>
      <c r="A71" s="22">
        <v>66</v>
      </c>
      <c r="B71" s="27">
        <f ca="1">IFERROR(__xludf.DUMMYFUNCTION("""COMPUTED_VALUE"""),938)</f>
        <v>938</v>
      </c>
      <c r="C71" s="24" t="str">
        <f ca="1">IFERROR(__xludf.DUMMYFUNCTION("""COMPUTED_VALUE"""),"COMP")</f>
        <v>COMP</v>
      </c>
      <c r="D71" s="24" t="str">
        <f ca="1">IFERROR(__xludf.DUMMYFUNCTION("""COMPUTED_VALUE"""),"SE")</f>
        <v>SE</v>
      </c>
      <c r="E71" s="24" t="str">
        <f ca="1">IFERROR(__xludf.DUMMYFUNCTION("""COMPUTED_VALUE"""),"")</f>
        <v/>
      </c>
      <c r="F71" s="24">
        <f ca="1">IFERROR(__xludf.DUMMYFUNCTION("""COMPUTED_VALUE"""),1821085)</f>
        <v>1821085</v>
      </c>
      <c r="G71" s="24" t="str">
        <f ca="1">IFERROR(__xludf.DUMMYFUNCTION("""COMPUTED_VALUE"""),"Ms.")</f>
        <v>Ms.</v>
      </c>
      <c r="H71" s="25" t="str">
        <f ca="1">IFERROR(__xludf.DUMMYFUNCTION("""COMPUTED_VALUE"""),"Mahamuni Ashlesha Pradip")</f>
        <v>Mahamuni Ashlesha Pradip</v>
      </c>
      <c r="I71" s="24" t="str">
        <f ca="1">IFERROR(__xludf.DUMMYFUNCTION("""COMPUTED_VALUE"""),"")</f>
        <v/>
      </c>
      <c r="J71" s="25" t="str">
        <f ca="1">IFERROR(__xludf.DUMMYFUNCTION("""COMPUTED_VALUE"""),"Mahamuni")</f>
        <v>Mahamuni</v>
      </c>
      <c r="K71" s="25" t="str">
        <f ca="1">IFERROR(__xludf.DUMMYFUNCTION("""COMPUTED_VALUE"""),"Ashlesha")</f>
        <v>Ashlesha</v>
      </c>
      <c r="L71" s="25" t="str">
        <f ca="1">IFERROR(__xludf.DUMMYFUNCTION("""COMPUTED_VALUE"""),"Pradip")</f>
        <v>Pradip</v>
      </c>
      <c r="M71" s="25" t="str">
        <f ca="1">IFERROR(__xludf.DUMMYFUNCTION("""COMPUTED_VALUE"""),"Mahamuni Ashlesha Pradip")</f>
        <v>Mahamuni Ashlesha Pradip</v>
      </c>
      <c r="N71" s="25" t="str">
        <f ca="1">IFERROR(__xludf.DUMMYFUNCTION("""COMPUTED_VALUE"""),"Mahamuni Ashlesha P.")</f>
        <v>Mahamuni Ashlesha P.</v>
      </c>
      <c r="O71" s="25" t="str">
        <f ca="1">IFERROR(__xludf.DUMMYFUNCTION("""COMPUTED_VALUE"""),"Mahamuni A. P.")</f>
        <v>Mahamuni A. P.</v>
      </c>
      <c r="P71" s="24" t="str">
        <f ca="1">IFERROR(__xludf.DUMMYFUNCTION("""COMPUTED_VALUE"""),"REG")</f>
        <v>REG</v>
      </c>
      <c r="Q71" s="26" t="str">
        <f ca="1">IFERROR(__xludf.DUMMYFUNCTION("""COMPUTED_VALUE"""),"")</f>
        <v/>
      </c>
      <c r="R71" s="26" t="str">
        <f ca="1">IFERROR(__xludf.DUMMYFUNCTION("""COMPUTED_VALUE"""),"")</f>
        <v/>
      </c>
      <c r="S71" s="26" t="str">
        <f ca="1">IFERROR(__xludf.DUMMYFUNCTION("""COMPUTED_VALUE"""),"")</f>
        <v/>
      </c>
      <c r="T71" s="24" t="str">
        <f ca="1">IFERROR(__xludf.DUMMYFUNCTION("""COMPUTED_VALUE"""),"OBC")</f>
        <v>OBC</v>
      </c>
      <c r="U71" s="24" t="str">
        <f ca="1">IFERROR(__xludf.DUMMYFUNCTION("""COMPUTED_VALUE"""),"F")</f>
        <v>F</v>
      </c>
      <c r="V71" s="24">
        <f ca="1">IFERROR(__xludf.DUMMYFUNCTION("""COMPUTED_VALUE"""),2018)</f>
        <v>2018</v>
      </c>
      <c r="W71" s="25" t="str">
        <f ca="1">IFERROR(__xludf.DUMMYFUNCTION("""COMPUTED_VALUE"""),"A/P- Ghadagewadi, Tal-Baramati, Dist- Pune")</f>
        <v>A/P- Ghadagewadi, Tal-Baramati, Dist- Pune</v>
      </c>
      <c r="X71" s="24">
        <f ca="1">IFERROR(__xludf.DUMMYFUNCTION("""COMPUTED_VALUE"""),9011537885)</f>
        <v>9011537885</v>
      </c>
      <c r="Y71" s="24">
        <f ca="1">IFERROR(__xludf.DUMMYFUNCTION("""COMPUTED_VALUE"""),7517736344)</f>
        <v>7517736344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>
      <c r="A72" s="22">
        <v>67</v>
      </c>
      <c r="B72" s="27" t="str">
        <f ca="1">IFERROR(__xludf.DUMMYFUNCTION("""COMPUTED_VALUE"""),"")</f>
        <v/>
      </c>
      <c r="C72" s="24" t="str">
        <f ca="1">IFERROR(__xludf.DUMMYFUNCTION("""COMPUTED_VALUE"""),"")</f>
        <v/>
      </c>
      <c r="D72" s="24" t="str">
        <f ca="1">IFERROR(__xludf.DUMMYFUNCTION("""COMPUTED_VALUE"""),"")</f>
        <v/>
      </c>
      <c r="E72" s="24" t="str">
        <f ca="1">IFERROR(__xludf.DUMMYFUNCTION("""COMPUTED_VALUE"""),"")</f>
        <v/>
      </c>
      <c r="F72" s="24" t="str">
        <f ca="1">IFERROR(__xludf.DUMMYFUNCTION("""COMPUTED_VALUE"""),"")</f>
        <v/>
      </c>
      <c r="G72" s="24" t="str">
        <f ca="1">IFERROR(__xludf.DUMMYFUNCTION("""COMPUTED_VALUE"""),"")</f>
        <v/>
      </c>
      <c r="H72" s="25" t="str">
        <f ca="1">IFERROR(__xludf.DUMMYFUNCTION("""COMPUTED_VALUE"""),"")</f>
        <v/>
      </c>
      <c r="I72" s="24" t="str">
        <f ca="1">IFERROR(__xludf.DUMMYFUNCTION("""COMPUTED_VALUE"""),"")</f>
        <v/>
      </c>
      <c r="J72" s="25" t="str">
        <f ca="1">IFERROR(__xludf.DUMMYFUNCTION("""COMPUTED_VALUE"""),"")</f>
        <v/>
      </c>
      <c r="K72" s="25" t="str">
        <f ca="1">IFERROR(__xludf.DUMMYFUNCTION("""COMPUTED_VALUE"""),"")</f>
        <v/>
      </c>
      <c r="L72" s="25" t="str">
        <f ca="1">IFERROR(__xludf.DUMMYFUNCTION("""COMPUTED_VALUE"""),"")</f>
        <v/>
      </c>
      <c r="M72" s="25" t="str">
        <f ca="1">IFERROR(__xludf.DUMMYFUNCTION("""COMPUTED_VALUE"""),"")</f>
        <v/>
      </c>
      <c r="N72" s="25" t="str">
        <f ca="1">IFERROR(__xludf.DUMMYFUNCTION("""COMPUTED_VALUE"""),"")</f>
        <v/>
      </c>
      <c r="O72" s="25" t="str">
        <f ca="1">IFERROR(__xludf.DUMMYFUNCTION("""COMPUTED_VALUE"""),"")</f>
        <v/>
      </c>
      <c r="P72" s="24" t="str">
        <f ca="1">IFERROR(__xludf.DUMMYFUNCTION("""COMPUTED_VALUE"""),"")</f>
        <v/>
      </c>
      <c r="Q72" s="26" t="str">
        <f ca="1">IFERROR(__xludf.DUMMYFUNCTION("""COMPUTED_VALUE"""),"")</f>
        <v/>
      </c>
      <c r="R72" s="26" t="str">
        <f ca="1">IFERROR(__xludf.DUMMYFUNCTION("""COMPUTED_VALUE"""),"")</f>
        <v/>
      </c>
      <c r="S72" s="26" t="str">
        <f ca="1">IFERROR(__xludf.DUMMYFUNCTION("""COMPUTED_VALUE"""),"")</f>
        <v/>
      </c>
      <c r="T72" s="24" t="str">
        <f ca="1">IFERROR(__xludf.DUMMYFUNCTION("""COMPUTED_VALUE"""),"")</f>
        <v/>
      </c>
      <c r="U72" s="24" t="str">
        <f ca="1">IFERROR(__xludf.DUMMYFUNCTION("""COMPUTED_VALUE"""),"")</f>
        <v/>
      </c>
      <c r="V72" s="24" t="str">
        <f ca="1">IFERROR(__xludf.DUMMYFUNCTION("""COMPUTED_VALUE"""),"")</f>
        <v/>
      </c>
      <c r="W72" s="25" t="str">
        <f ca="1">IFERROR(__xludf.DUMMYFUNCTION("""COMPUTED_VALUE"""),"")</f>
        <v/>
      </c>
      <c r="X72" s="24" t="str">
        <f ca="1">IFERROR(__xludf.DUMMYFUNCTION("""COMPUTED_VALUE"""),"")</f>
        <v/>
      </c>
      <c r="Y72" s="24" t="str">
        <f ca="1">IFERROR(__xludf.DUMMYFUNCTION("""COMPUTED_VALUE"""),"")</f>
        <v/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>
      <c r="A73" s="22">
        <v>68</v>
      </c>
      <c r="B73" s="27" t="str">
        <f ca="1">IFERROR(__xludf.DUMMYFUNCTION("""COMPUTED_VALUE"""),"")</f>
        <v/>
      </c>
      <c r="C73" s="24" t="str">
        <f ca="1">IFERROR(__xludf.DUMMYFUNCTION("""COMPUTED_VALUE"""),"")</f>
        <v/>
      </c>
      <c r="D73" s="24" t="str">
        <f ca="1">IFERROR(__xludf.DUMMYFUNCTION("""COMPUTED_VALUE"""),"")</f>
        <v/>
      </c>
      <c r="E73" s="24" t="str">
        <f ca="1">IFERROR(__xludf.DUMMYFUNCTION("""COMPUTED_VALUE"""),"")</f>
        <v/>
      </c>
      <c r="F73" s="24" t="str">
        <f ca="1">IFERROR(__xludf.DUMMYFUNCTION("""COMPUTED_VALUE"""),"")</f>
        <v/>
      </c>
      <c r="G73" s="24" t="str">
        <f ca="1">IFERROR(__xludf.DUMMYFUNCTION("""COMPUTED_VALUE"""),"")</f>
        <v/>
      </c>
      <c r="H73" s="25" t="str">
        <f ca="1">IFERROR(__xludf.DUMMYFUNCTION("""COMPUTED_VALUE"""),"")</f>
        <v/>
      </c>
      <c r="I73" s="24" t="str">
        <f ca="1">IFERROR(__xludf.DUMMYFUNCTION("""COMPUTED_VALUE"""),"")</f>
        <v/>
      </c>
      <c r="J73" s="25" t="str">
        <f ca="1">IFERROR(__xludf.DUMMYFUNCTION("""COMPUTED_VALUE"""),"")</f>
        <v/>
      </c>
      <c r="K73" s="25" t="str">
        <f ca="1">IFERROR(__xludf.DUMMYFUNCTION("""COMPUTED_VALUE"""),"")</f>
        <v/>
      </c>
      <c r="L73" s="25" t="str">
        <f ca="1">IFERROR(__xludf.DUMMYFUNCTION("""COMPUTED_VALUE"""),"")</f>
        <v/>
      </c>
      <c r="M73" s="25" t="str">
        <f ca="1">IFERROR(__xludf.DUMMYFUNCTION("""COMPUTED_VALUE"""),"")</f>
        <v/>
      </c>
      <c r="N73" s="25" t="str">
        <f ca="1">IFERROR(__xludf.DUMMYFUNCTION("""COMPUTED_VALUE"""),"")</f>
        <v/>
      </c>
      <c r="O73" s="25" t="str">
        <f ca="1">IFERROR(__xludf.DUMMYFUNCTION("""COMPUTED_VALUE"""),"")</f>
        <v/>
      </c>
      <c r="P73" s="24" t="str">
        <f ca="1">IFERROR(__xludf.DUMMYFUNCTION("""COMPUTED_VALUE"""),"")</f>
        <v/>
      </c>
      <c r="Q73" s="26" t="str">
        <f ca="1">IFERROR(__xludf.DUMMYFUNCTION("""COMPUTED_VALUE"""),"")</f>
        <v/>
      </c>
      <c r="R73" s="26" t="str">
        <f ca="1">IFERROR(__xludf.DUMMYFUNCTION("""COMPUTED_VALUE"""),"")</f>
        <v/>
      </c>
      <c r="S73" s="26" t="str">
        <f ca="1">IFERROR(__xludf.DUMMYFUNCTION("""COMPUTED_VALUE"""),"")</f>
        <v/>
      </c>
      <c r="T73" s="24" t="str">
        <f ca="1">IFERROR(__xludf.DUMMYFUNCTION("""COMPUTED_VALUE"""),"")</f>
        <v/>
      </c>
      <c r="U73" s="24" t="str">
        <f ca="1">IFERROR(__xludf.DUMMYFUNCTION("""COMPUTED_VALUE"""),"")</f>
        <v/>
      </c>
      <c r="V73" s="24" t="str">
        <f ca="1">IFERROR(__xludf.DUMMYFUNCTION("""COMPUTED_VALUE"""),"")</f>
        <v/>
      </c>
      <c r="W73" s="25" t="str">
        <f ca="1">IFERROR(__xludf.DUMMYFUNCTION("""COMPUTED_VALUE"""),"")</f>
        <v/>
      </c>
      <c r="X73" s="24" t="str">
        <f ca="1">IFERROR(__xludf.DUMMYFUNCTION("""COMPUTED_VALUE"""),"")</f>
        <v/>
      </c>
      <c r="Y73" s="24" t="str">
        <f ca="1">IFERROR(__xludf.DUMMYFUNCTION("""COMPUTED_VALUE"""),"")</f>
        <v/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>
      <c r="A74" s="22">
        <v>69</v>
      </c>
      <c r="B74" s="27" t="str">
        <f ca="1">IFERROR(__xludf.DUMMYFUNCTION("""COMPUTED_VALUE"""),"")</f>
        <v/>
      </c>
      <c r="C74" s="24" t="str">
        <f ca="1">IFERROR(__xludf.DUMMYFUNCTION("""COMPUTED_VALUE"""),"")</f>
        <v/>
      </c>
      <c r="D74" s="24" t="str">
        <f ca="1">IFERROR(__xludf.DUMMYFUNCTION("""COMPUTED_VALUE"""),"")</f>
        <v/>
      </c>
      <c r="E74" s="24" t="str">
        <f ca="1">IFERROR(__xludf.DUMMYFUNCTION("""COMPUTED_VALUE"""),"")</f>
        <v/>
      </c>
      <c r="F74" s="24" t="str">
        <f ca="1">IFERROR(__xludf.DUMMYFUNCTION("""COMPUTED_VALUE"""),"")</f>
        <v/>
      </c>
      <c r="G74" s="24" t="str">
        <f ca="1">IFERROR(__xludf.DUMMYFUNCTION("""COMPUTED_VALUE"""),"")</f>
        <v/>
      </c>
      <c r="H74" s="25" t="str">
        <f ca="1">IFERROR(__xludf.DUMMYFUNCTION("""COMPUTED_VALUE"""),"")</f>
        <v/>
      </c>
      <c r="I74" s="24" t="str">
        <f ca="1">IFERROR(__xludf.DUMMYFUNCTION("""COMPUTED_VALUE"""),"")</f>
        <v/>
      </c>
      <c r="J74" s="25" t="str">
        <f ca="1">IFERROR(__xludf.DUMMYFUNCTION("""COMPUTED_VALUE"""),"")</f>
        <v/>
      </c>
      <c r="K74" s="25" t="str">
        <f ca="1">IFERROR(__xludf.DUMMYFUNCTION("""COMPUTED_VALUE"""),"")</f>
        <v/>
      </c>
      <c r="L74" s="25" t="str">
        <f ca="1">IFERROR(__xludf.DUMMYFUNCTION("""COMPUTED_VALUE"""),"")</f>
        <v/>
      </c>
      <c r="M74" s="25" t="str">
        <f ca="1">IFERROR(__xludf.DUMMYFUNCTION("""COMPUTED_VALUE"""),"")</f>
        <v/>
      </c>
      <c r="N74" s="25" t="str">
        <f ca="1">IFERROR(__xludf.DUMMYFUNCTION("""COMPUTED_VALUE"""),"")</f>
        <v/>
      </c>
      <c r="O74" s="25" t="str">
        <f ca="1">IFERROR(__xludf.DUMMYFUNCTION("""COMPUTED_VALUE"""),"")</f>
        <v/>
      </c>
      <c r="P74" s="24" t="str">
        <f ca="1">IFERROR(__xludf.DUMMYFUNCTION("""COMPUTED_VALUE"""),"")</f>
        <v/>
      </c>
      <c r="Q74" s="26" t="str">
        <f ca="1">IFERROR(__xludf.DUMMYFUNCTION("""COMPUTED_VALUE"""),"")</f>
        <v/>
      </c>
      <c r="R74" s="26" t="str">
        <f ca="1">IFERROR(__xludf.DUMMYFUNCTION("""COMPUTED_VALUE"""),"")</f>
        <v/>
      </c>
      <c r="S74" s="26" t="str">
        <f ca="1">IFERROR(__xludf.DUMMYFUNCTION("""COMPUTED_VALUE"""),"")</f>
        <v/>
      </c>
      <c r="T74" s="24" t="str">
        <f ca="1">IFERROR(__xludf.DUMMYFUNCTION("""COMPUTED_VALUE"""),"")</f>
        <v/>
      </c>
      <c r="U74" s="24" t="str">
        <f ca="1">IFERROR(__xludf.DUMMYFUNCTION("""COMPUTED_VALUE"""),"")</f>
        <v/>
      </c>
      <c r="V74" s="24" t="str">
        <f ca="1">IFERROR(__xludf.DUMMYFUNCTION("""COMPUTED_VALUE"""),"")</f>
        <v/>
      </c>
      <c r="W74" s="25" t="str">
        <f ca="1">IFERROR(__xludf.DUMMYFUNCTION("""COMPUTED_VALUE"""),"")</f>
        <v/>
      </c>
      <c r="X74" s="24" t="str">
        <f ca="1">IFERROR(__xludf.DUMMYFUNCTION("""COMPUTED_VALUE"""),"")</f>
        <v/>
      </c>
      <c r="Y74" s="24" t="str">
        <f ca="1">IFERROR(__xludf.DUMMYFUNCTION("""COMPUTED_VALUE"""),"")</f>
        <v/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>
      <c r="A75" s="22">
        <v>70</v>
      </c>
      <c r="B75" s="27" t="str">
        <f ca="1">IFERROR(__xludf.DUMMYFUNCTION("""COMPUTED_VALUE"""),"")</f>
        <v/>
      </c>
      <c r="C75" s="24" t="str">
        <f ca="1">IFERROR(__xludf.DUMMYFUNCTION("""COMPUTED_VALUE"""),"")</f>
        <v/>
      </c>
      <c r="D75" s="24" t="str">
        <f ca="1">IFERROR(__xludf.DUMMYFUNCTION("""COMPUTED_VALUE"""),"")</f>
        <v/>
      </c>
      <c r="E75" s="24" t="str">
        <f ca="1">IFERROR(__xludf.DUMMYFUNCTION("""COMPUTED_VALUE"""),"")</f>
        <v/>
      </c>
      <c r="F75" s="24" t="str">
        <f ca="1">IFERROR(__xludf.DUMMYFUNCTION("""COMPUTED_VALUE"""),"")</f>
        <v/>
      </c>
      <c r="G75" s="24" t="str">
        <f ca="1">IFERROR(__xludf.DUMMYFUNCTION("""COMPUTED_VALUE"""),"")</f>
        <v/>
      </c>
      <c r="H75" s="25" t="str">
        <f ca="1">IFERROR(__xludf.DUMMYFUNCTION("""COMPUTED_VALUE"""),"")</f>
        <v/>
      </c>
      <c r="I75" s="24" t="str">
        <f ca="1">IFERROR(__xludf.DUMMYFUNCTION("""COMPUTED_VALUE"""),"")</f>
        <v/>
      </c>
      <c r="J75" s="25" t="str">
        <f ca="1">IFERROR(__xludf.DUMMYFUNCTION("""COMPUTED_VALUE"""),"")</f>
        <v/>
      </c>
      <c r="K75" s="25" t="str">
        <f ca="1">IFERROR(__xludf.DUMMYFUNCTION("""COMPUTED_VALUE"""),"")</f>
        <v/>
      </c>
      <c r="L75" s="25" t="str">
        <f ca="1">IFERROR(__xludf.DUMMYFUNCTION("""COMPUTED_VALUE"""),"")</f>
        <v/>
      </c>
      <c r="M75" s="25" t="str">
        <f ca="1">IFERROR(__xludf.DUMMYFUNCTION("""COMPUTED_VALUE"""),"")</f>
        <v/>
      </c>
      <c r="N75" s="25" t="str">
        <f ca="1">IFERROR(__xludf.DUMMYFUNCTION("""COMPUTED_VALUE"""),"")</f>
        <v/>
      </c>
      <c r="O75" s="25" t="str">
        <f ca="1">IFERROR(__xludf.DUMMYFUNCTION("""COMPUTED_VALUE"""),"")</f>
        <v/>
      </c>
      <c r="P75" s="24" t="str">
        <f ca="1">IFERROR(__xludf.DUMMYFUNCTION("""COMPUTED_VALUE"""),"")</f>
        <v/>
      </c>
      <c r="Q75" s="26" t="str">
        <f ca="1">IFERROR(__xludf.DUMMYFUNCTION("""COMPUTED_VALUE"""),"")</f>
        <v/>
      </c>
      <c r="R75" s="26" t="str">
        <f ca="1">IFERROR(__xludf.DUMMYFUNCTION("""COMPUTED_VALUE"""),"")</f>
        <v/>
      </c>
      <c r="S75" s="26" t="str">
        <f ca="1">IFERROR(__xludf.DUMMYFUNCTION("""COMPUTED_VALUE"""),"")</f>
        <v/>
      </c>
      <c r="T75" s="24" t="str">
        <f ca="1">IFERROR(__xludf.DUMMYFUNCTION("""COMPUTED_VALUE"""),"")</f>
        <v/>
      </c>
      <c r="U75" s="24" t="str">
        <f ca="1">IFERROR(__xludf.DUMMYFUNCTION("""COMPUTED_VALUE"""),"")</f>
        <v/>
      </c>
      <c r="V75" s="24" t="str">
        <f ca="1">IFERROR(__xludf.DUMMYFUNCTION("""COMPUTED_VALUE"""),"")</f>
        <v/>
      </c>
      <c r="W75" s="25" t="str">
        <f ca="1">IFERROR(__xludf.DUMMYFUNCTION("""COMPUTED_VALUE"""),"")</f>
        <v/>
      </c>
      <c r="X75" s="24" t="str">
        <f ca="1">IFERROR(__xludf.DUMMYFUNCTION("""COMPUTED_VALUE"""),"")</f>
        <v/>
      </c>
      <c r="Y75" s="24" t="str">
        <f ca="1">IFERROR(__xludf.DUMMYFUNCTION("""COMPUTED_VALUE"""),"")</f>
        <v/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>
      <c r="A76" s="22">
        <v>71</v>
      </c>
      <c r="B76" s="27" t="str">
        <f ca="1">IFERROR(__xludf.DUMMYFUNCTION("""COMPUTED_VALUE"""),"")</f>
        <v/>
      </c>
      <c r="C76" s="24" t="str">
        <f ca="1">IFERROR(__xludf.DUMMYFUNCTION("""COMPUTED_VALUE"""),"")</f>
        <v/>
      </c>
      <c r="D76" s="24" t="str">
        <f ca="1">IFERROR(__xludf.DUMMYFUNCTION("""COMPUTED_VALUE"""),"")</f>
        <v/>
      </c>
      <c r="E76" s="24" t="str">
        <f ca="1">IFERROR(__xludf.DUMMYFUNCTION("""COMPUTED_VALUE"""),"")</f>
        <v/>
      </c>
      <c r="F76" s="24" t="str">
        <f ca="1">IFERROR(__xludf.DUMMYFUNCTION("""COMPUTED_VALUE"""),"")</f>
        <v/>
      </c>
      <c r="G76" s="24" t="str">
        <f ca="1">IFERROR(__xludf.DUMMYFUNCTION("""COMPUTED_VALUE"""),"")</f>
        <v/>
      </c>
      <c r="H76" s="25" t="str">
        <f ca="1">IFERROR(__xludf.DUMMYFUNCTION("""COMPUTED_VALUE"""),"")</f>
        <v/>
      </c>
      <c r="I76" s="24" t="str">
        <f ca="1">IFERROR(__xludf.DUMMYFUNCTION("""COMPUTED_VALUE"""),"")</f>
        <v/>
      </c>
      <c r="J76" s="25" t="str">
        <f ca="1">IFERROR(__xludf.DUMMYFUNCTION("""COMPUTED_VALUE"""),"")</f>
        <v/>
      </c>
      <c r="K76" s="25" t="str">
        <f ca="1">IFERROR(__xludf.DUMMYFUNCTION("""COMPUTED_VALUE"""),"")</f>
        <v/>
      </c>
      <c r="L76" s="25" t="str">
        <f ca="1">IFERROR(__xludf.DUMMYFUNCTION("""COMPUTED_VALUE"""),"")</f>
        <v/>
      </c>
      <c r="M76" s="25" t="str">
        <f ca="1">IFERROR(__xludf.DUMMYFUNCTION("""COMPUTED_VALUE"""),"")</f>
        <v/>
      </c>
      <c r="N76" s="25" t="str">
        <f ca="1">IFERROR(__xludf.DUMMYFUNCTION("""COMPUTED_VALUE"""),"")</f>
        <v/>
      </c>
      <c r="O76" s="25" t="str">
        <f ca="1">IFERROR(__xludf.DUMMYFUNCTION("""COMPUTED_VALUE"""),"")</f>
        <v/>
      </c>
      <c r="P76" s="24" t="str">
        <f ca="1">IFERROR(__xludf.DUMMYFUNCTION("""COMPUTED_VALUE"""),"")</f>
        <v/>
      </c>
      <c r="Q76" s="26" t="str">
        <f ca="1">IFERROR(__xludf.DUMMYFUNCTION("""COMPUTED_VALUE"""),"")</f>
        <v/>
      </c>
      <c r="R76" s="26" t="str">
        <f ca="1">IFERROR(__xludf.DUMMYFUNCTION("""COMPUTED_VALUE"""),"")</f>
        <v/>
      </c>
      <c r="S76" s="26" t="str">
        <f ca="1">IFERROR(__xludf.DUMMYFUNCTION("""COMPUTED_VALUE"""),"")</f>
        <v/>
      </c>
      <c r="T76" s="24" t="str">
        <f ca="1">IFERROR(__xludf.DUMMYFUNCTION("""COMPUTED_VALUE"""),"")</f>
        <v/>
      </c>
      <c r="U76" s="24" t="str">
        <f ca="1">IFERROR(__xludf.DUMMYFUNCTION("""COMPUTED_VALUE"""),"")</f>
        <v/>
      </c>
      <c r="V76" s="24" t="str">
        <f ca="1">IFERROR(__xludf.DUMMYFUNCTION("""COMPUTED_VALUE"""),"")</f>
        <v/>
      </c>
      <c r="W76" s="25" t="str">
        <f ca="1">IFERROR(__xludf.DUMMYFUNCTION("""COMPUTED_VALUE"""),"")</f>
        <v/>
      </c>
      <c r="X76" s="24" t="str">
        <f ca="1">IFERROR(__xludf.DUMMYFUNCTION("""COMPUTED_VALUE"""),"")</f>
        <v/>
      </c>
      <c r="Y76" s="24" t="str">
        <f ca="1">IFERROR(__xludf.DUMMYFUNCTION("""COMPUTED_VALUE"""),"")</f>
        <v/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>
      <c r="A77" s="22">
        <v>72</v>
      </c>
      <c r="B77" s="27" t="str">
        <f ca="1">IFERROR(__xludf.DUMMYFUNCTION("""COMPUTED_VALUE"""),"")</f>
        <v/>
      </c>
      <c r="C77" s="24" t="str">
        <f ca="1">IFERROR(__xludf.DUMMYFUNCTION("""COMPUTED_VALUE"""),"")</f>
        <v/>
      </c>
      <c r="D77" s="24" t="str">
        <f ca="1">IFERROR(__xludf.DUMMYFUNCTION("""COMPUTED_VALUE"""),"")</f>
        <v/>
      </c>
      <c r="E77" s="24" t="str">
        <f ca="1">IFERROR(__xludf.DUMMYFUNCTION("""COMPUTED_VALUE"""),"")</f>
        <v/>
      </c>
      <c r="F77" s="24" t="str">
        <f ca="1">IFERROR(__xludf.DUMMYFUNCTION("""COMPUTED_VALUE"""),"")</f>
        <v/>
      </c>
      <c r="G77" s="24" t="str">
        <f ca="1">IFERROR(__xludf.DUMMYFUNCTION("""COMPUTED_VALUE"""),"")</f>
        <v/>
      </c>
      <c r="H77" s="25" t="str">
        <f ca="1">IFERROR(__xludf.DUMMYFUNCTION("""COMPUTED_VALUE"""),"")</f>
        <v/>
      </c>
      <c r="I77" s="24" t="str">
        <f ca="1">IFERROR(__xludf.DUMMYFUNCTION("""COMPUTED_VALUE"""),"")</f>
        <v/>
      </c>
      <c r="J77" s="25" t="str">
        <f ca="1">IFERROR(__xludf.DUMMYFUNCTION("""COMPUTED_VALUE"""),"")</f>
        <v/>
      </c>
      <c r="K77" s="25" t="str">
        <f ca="1">IFERROR(__xludf.DUMMYFUNCTION("""COMPUTED_VALUE"""),"")</f>
        <v/>
      </c>
      <c r="L77" s="25" t="str">
        <f ca="1">IFERROR(__xludf.DUMMYFUNCTION("""COMPUTED_VALUE"""),"")</f>
        <v/>
      </c>
      <c r="M77" s="25" t="str">
        <f ca="1">IFERROR(__xludf.DUMMYFUNCTION("""COMPUTED_VALUE"""),"")</f>
        <v/>
      </c>
      <c r="N77" s="25" t="str">
        <f ca="1">IFERROR(__xludf.DUMMYFUNCTION("""COMPUTED_VALUE"""),"")</f>
        <v/>
      </c>
      <c r="O77" s="25" t="str">
        <f ca="1">IFERROR(__xludf.DUMMYFUNCTION("""COMPUTED_VALUE"""),"")</f>
        <v/>
      </c>
      <c r="P77" s="24" t="str">
        <f ca="1">IFERROR(__xludf.DUMMYFUNCTION("""COMPUTED_VALUE"""),"")</f>
        <v/>
      </c>
      <c r="Q77" s="26" t="str">
        <f ca="1">IFERROR(__xludf.DUMMYFUNCTION("""COMPUTED_VALUE"""),"")</f>
        <v/>
      </c>
      <c r="R77" s="26" t="str">
        <f ca="1">IFERROR(__xludf.DUMMYFUNCTION("""COMPUTED_VALUE"""),"")</f>
        <v/>
      </c>
      <c r="S77" s="26" t="str">
        <f ca="1">IFERROR(__xludf.DUMMYFUNCTION("""COMPUTED_VALUE"""),"")</f>
        <v/>
      </c>
      <c r="T77" s="24" t="str">
        <f ca="1">IFERROR(__xludf.DUMMYFUNCTION("""COMPUTED_VALUE"""),"")</f>
        <v/>
      </c>
      <c r="U77" s="24" t="str">
        <f ca="1">IFERROR(__xludf.DUMMYFUNCTION("""COMPUTED_VALUE"""),"")</f>
        <v/>
      </c>
      <c r="V77" s="24" t="str">
        <f ca="1">IFERROR(__xludf.DUMMYFUNCTION("""COMPUTED_VALUE"""),"")</f>
        <v/>
      </c>
      <c r="W77" s="25" t="str">
        <f ca="1">IFERROR(__xludf.DUMMYFUNCTION("""COMPUTED_VALUE"""),"")</f>
        <v/>
      </c>
      <c r="X77" s="24" t="str">
        <f ca="1">IFERROR(__xludf.DUMMYFUNCTION("""COMPUTED_VALUE"""),"")</f>
        <v/>
      </c>
      <c r="Y77" s="24" t="str">
        <f ca="1">IFERROR(__xludf.DUMMYFUNCTION("""COMPUTED_VALUE"""),"")</f>
        <v/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>
      <c r="A78" s="22">
        <v>73</v>
      </c>
      <c r="B78" s="27" t="str">
        <f ca="1">IFERROR(__xludf.DUMMYFUNCTION("""COMPUTED_VALUE"""),"")</f>
        <v/>
      </c>
      <c r="C78" s="24" t="str">
        <f ca="1">IFERROR(__xludf.DUMMYFUNCTION("""COMPUTED_VALUE"""),"")</f>
        <v/>
      </c>
      <c r="D78" s="24" t="str">
        <f ca="1">IFERROR(__xludf.DUMMYFUNCTION("""COMPUTED_VALUE"""),"")</f>
        <v/>
      </c>
      <c r="E78" s="24" t="str">
        <f ca="1">IFERROR(__xludf.DUMMYFUNCTION("""COMPUTED_VALUE"""),"")</f>
        <v/>
      </c>
      <c r="F78" s="24" t="str">
        <f ca="1">IFERROR(__xludf.DUMMYFUNCTION("""COMPUTED_VALUE"""),"")</f>
        <v/>
      </c>
      <c r="G78" s="24" t="str">
        <f ca="1">IFERROR(__xludf.DUMMYFUNCTION("""COMPUTED_VALUE"""),"")</f>
        <v/>
      </c>
      <c r="H78" s="25" t="str">
        <f ca="1">IFERROR(__xludf.DUMMYFUNCTION("""COMPUTED_VALUE"""),"")</f>
        <v/>
      </c>
      <c r="I78" s="24" t="str">
        <f ca="1">IFERROR(__xludf.DUMMYFUNCTION("""COMPUTED_VALUE"""),"")</f>
        <v/>
      </c>
      <c r="J78" s="25" t="str">
        <f ca="1">IFERROR(__xludf.DUMMYFUNCTION("""COMPUTED_VALUE"""),"")</f>
        <v/>
      </c>
      <c r="K78" s="25" t="str">
        <f ca="1">IFERROR(__xludf.DUMMYFUNCTION("""COMPUTED_VALUE"""),"")</f>
        <v/>
      </c>
      <c r="L78" s="25" t="str">
        <f ca="1">IFERROR(__xludf.DUMMYFUNCTION("""COMPUTED_VALUE"""),"")</f>
        <v/>
      </c>
      <c r="M78" s="25" t="str">
        <f ca="1">IFERROR(__xludf.DUMMYFUNCTION("""COMPUTED_VALUE"""),"")</f>
        <v/>
      </c>
      <c r="N78" s="25" t="str">
        <f ca="1">IFERROR(__xludf.DUMMYFUNCTION("""COMPUTED_VALUE"""),"")</f>
        <v/>
      </c>
      <c r="O78" s="25" t="str">
        <f ca="1">IFERROR(__xludf.DUMMYFUNCTION("""COMPUTED_VALUE"""),"")</f>
        <v/>
      </c>
      <c r="P78" s="24" t="str">
        <f ca="1">IFERROR(__xludf.DUMMYFUNCTION("""COMPUTED_VALUE"""),"")</f>
        <v/>
      </c>
      <c r="Q78" s="26" t="str">
        <f ca="1">IFERROR(__xludf.DUMMYFUNCTION("""COMPUTED_VALUE"""),"")</f>
        <v/>
      </c>
      <c r="R78" s="26" t="str">
        <f ca="1">IFERROR(__xludf.DUMMYFUNCTION("""COMPUTED_VALUE"""),"")</f>
        <v/>
      </c>
      <c r="S78" s="26" t="str">
        <f ca="1">IFERROR(__xludf.DUMMYFUNCTION("""COMPUTED_VALUE"""),"")</f>
        <v/>
      </c>
      <c r="T78" s="24" t="str">
        <f ca="1">IFERROR(__xludf.DUMMYFUNCTION("""COMPUTED_VALUE"""),"")</f>
        <v/>
      </c>
      <c r="U78" s="24" t="str">
        <f ca="1">IFERROR(__xludf.DUMMYFUNCTION("""COMPUTED_VALUE"""),"")</f>
        <v/>
      </c>
      <c r="V78" s="24" t="str">
        <f ca="1">IFERROR(__xludf.DUMMYFUNCTION("""COMPUTED_VALUE"""),"")</f>
        <v/>
      </c>
      <c r="W78" s="25" t="str">
        <f ca="1">IFERROR(__xludf.DUMMYFUNCTION("""COMPUTED_VALUE"""),"")</f>
        <v/>
      </c>
      <c r="X78" s="24" t="str">
        <f ca="1">IFERROR(__xludf.DUMMYFUNCTION("""COMPUTED_VALUE"""),"")</f>
        <v/>
      </c>
      <c r="Y78" s="24" t="str">
        <f ca="1">IFERROR(__xludf.DUMMYFUNCTION("""COMPUTED_VALUE"""),"")</f>
        <v/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>
      <c r="A79" s="22">
        <v>74</v>
      </c>
      <c r="B79" s="27" t="str">
        <f ca="1">IFERROR(__xludf.DUMMYFUNCTION("""COMPUTED_VALUE"""),"")</f>
        <v/>
      </c>
      <c r="C79" s="24" t="str">
        <f ca="1">IFERROR(__xludf.DUMMYFUNCTION("""COMPUTED_VALUE"""),"")</f>
        <v/>
      </c>
      <c r="D79" s="24" t="str">
        <f ca="1">IFERROR(__xludf.DUMMYFUNCTION("""COMPUTED_VALUE"""),"")</f>
        <v/>
      </c>
      <c r="E79" s="24" t="str">
        <f ca="1">IFERROR(__xludf.DUMMYFUNCTION("""COMPUTED_VALUE"""),"")</f>
        <v/>
      </c>
      <c r="F79" s="24" t="str">
        <f ca="1">IFERROR(__xludf.DUMMYFUNCTION("""COMPUTED_VALUE"""),"")</f>
        <v/>
      </c>
      <c r="G79" s="24" t="str">
        <f ca="1">IFERROR(__xludf.DUMMYFUNCTION("""COMPUTED_VALUE"""),"")</f>
        <v/>
      </c>
      <c r="H79" s="25" t="str">
        <f ca="1">IFERROR(__xludf.DUMMYFUNCTION("""COMPUTED_VALUE"""),"")</f>
        <v/>
      </c>
      <c r="I79" s="24" t="str">
        <f ca="1">IFERROR(__xludf.DUMMYFUNCTION("""COMPUTED_VALUE"""),"")</f>
        <v/>
      </c>
      <c r="J79" s="25" t="str">
        <f ca="1">IFERROR(__xludf.DUMMYFUNCTION("""COMPUTED_VALUE"""),"")</f>
        <v/>
      </c>
      <c r="K79" s="25" t="str">
        <f ca="1">IFERROR(__xludf.DUMMYFUNCTION("""COMPUTED_VALUE"""),"")</f>
        <v/>
      </c>
      <c r="L79" s="25" t="str">
        <f ca="1">IFERROR(__xludf.DUMMYFUNCTION("""COMPUTED_VALUE"""),"")</f>
        <v/>
      </c>
      <c r="M79" s="25" t="str">
        <f ca="1">IFERROR(__xludf.DUMMYFUNCTION("""COMPUTED_VALUE"""),"")</f>
        <v/>
      </c>
      <c r="N79" s="25" t="str">
        <f ca="1">IFERROR(__xludf.DUMMYFUNCTION("""COMPUTED_VALUE"""),"")</f>
        <v/>
      </c>
      <c r="O79" s="25" t="str">
        <f ca="1">IFERROR(__xludf.DUMMYFUNCTION("""COMPUTED_VALUE"""),"")</f>
        <v/>
      </c>
      <c r="P79" s="24" t="str">
        <f ca="1">IFERROR(__xludf.DUMMYFUNCTION("""COMPUTED_VALUE"""),"")</f>
        <v/>
      </c>
      <c r="Q79" s="26" t="str">
        <f ca="1">IFERROR(__xludf.DUMMYFUNCTION("""COMPUTED_VALUE"""),"")</f>
        <v/>
      </c>
      <c r="R79" s="26" t="str">
        <f ca="1">IFERROR(__xludf.DUMMYFUNCTION("""COMPUTED_VALUE"""),"")</f>
        <v/>
      </c>
      <c r="S79" s="26" t="str">
        <f ca="1">IFERROR(__xludf.DUMMYFUNCTION("""COMPUTED_VALUE"""),"")</f>
        <v/>
      </c>
      <c r="T79" s="24" t="str">
        <f ca="1">IFERROR(__xludf.DUMMYFUNCTION("""COMPUTED_VALUE"""),"")</f>
        <v/>
      </c>
      <c r="U79" s="24" t="str">
        <f ca="1">IFERROR(__xludf.DUMMYFUNCTION("""COMPUTED_VALUE"""),"")</f>
        <v/>
      </c>
      <c r="V79" s="24" t="str">
        <f ca="1">IFERROR(__xludf.DUMMYFUNCTION("""COMPUTED_VALUE"""),"")</f>
        <v/>
      </c>
      <c r="W79" s="25" t="str">
        <f ca="1">IFERROR(__xludf.DUMMYFUNCTION("""COMPUTED_VALUE"""),"")</f>
        <v/>
      </c>
      <c r="X79" s="24" t="str">
        <f ca="1">IFERROR(__xludf.DUMMYFUNCTION("""COMPUTED_VALUE"""),"")</f>
        <v/>
      </c>
      <c r="Y79" s="24" t="str">
        <f ca="1">IFERROR(__xludf.DUMMYFUNCTION("""COMPUTED_VALUE"""),"")</f>
        <v/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>
      <c r="A80" s="22">
        <v>75</v>
      </c>
      <c r="B80" s="27" t="str">
        <f ca="1">IFERROR(__xludf.DUMMYFUNCTION("""COMPUTED_VALUE"""),"")</f>
        <v/>
      </c>
      <c r="C80" s="24" t="str">
        <f ca="1">IFERROR(__xludf.DUMMYFUNCTION("""COMPUTED_VALUE"""),"")</f>
        <v/>
      </c>
      <c r="D80" s="24" t="str">
        <f ca="1">IFERROR(__xludf.DUMMYFUNCTION("""COMPUTED_VALUE"""),"")</f>
        <v/>
      </c>
      <c r="E80" s="24" t="str">
        <f ca="1">IFERROR(__xludf.DUMMYFUNCTION("""COMPUTED_VALUE"""),"")</f>
        <v/>
      </c>
      <c r="F80" s="24" t="str">
        <f ca="1">IFERROR(__xludf.DUMMYFUNCTION("""COMPUTED_VALUE"""),"")</f>
        <v/>
      </c>
      <c r="G80" s="24" t="str">
        <f ca="1">IFERROR(__xludf.DUMMYFUNCTION("""COMPUTED_VALUE"""),"")</f>
        <v/>
      </c>
      <c r="H80" s="25" t="str">
        <f ca="1">IFERROR(__xludf.DUMMYFUNCTION("""COMPUTED_VALUE"""),"")</f>
        <v/>
      </c>
      <c r="I80" s="24" t="str">
        <f ca="1">IFERROR(__xludf.DUMMYFUNCTION("""COMPUTED_VALUE"""),"")</f>
        <v/>
      </c>
      <c r="J80" s="25" t="str">
        <f ca="1">IFERROR(__xludf.DUMMYFUNCTION("""COMPUTED_VALUE"""),"")</f>
        <v/>
      </c>
      <c r="K80" s="25" t="str">
        <f ca="1">IFERROR(__xludf.DUMMYFUNCTION("""COMPUTED_VALUE"""),"")</f>
        <v/>
      </c>
      <c r="L80" s="25" t="str">
        <f ca="1">IFERROR(__xludf.DUMMYFUNCTION("""COMPUTED_VALUE"""),"")</f>
        <v/>
      </c>
      <c r="M80" s="25" t="str">
        <f ca="1">IFERROR(__xludf.DUMMYFUNCTION("""COMPUTED_VALUE"""),"")</f>
        <v/>
      </c>
      <c r="N80" s="25" t="str">
        <f ca="1">IFERROR(__xludf.DUMMYFUNCTION("""COMPUTED_VALUE"""),"")</f>
        <v/>
      </c>
      <c r="O80" s="25" t="str">
        <f ca="1">IFERROR(__xludf.DUMMYFUNCTION("""COMPUTED_VALUE"""),"")</f>
        <v/>
      </c>
      <c r="P80" s="24" t="str">
        <f ca="1">IFERROR(__xludf.DUMMYFUNCTION("""COMPUTED_VALUE"""),"")</f>
        <v/>
      </c>
      <c r="Q80" s="26" t="str">
        <f ca="1">IFERROR(__xludf.DUMMYFUNCTION("""COMPUTED_VALUE"""),"")</f>
        <v/>
      </c>
      <c r="R80" s="26" t="str">
        <f ca="1">IFERROR(__xludf.DUMMYFUNCTION("""COMPUTED_VALUE"""),"")</f>
        <v/>
      </c>
      <c r="S80" s="26" t="str">
        <f ca="1">IFERROR(__xludf.DUMMYFUNCTION("""COMPUTED_VALUE"""),"")</f>
        <v/>
      </c>
      <c r="T80" s="24" t="str">
        <f ca="1">IFERROR(__xludf.DUMMYFUNCTION("""COMPUTED_VALUE"""),"")</f>
        <v/>
      </c>
      <c r="U80" s="24" t="str">
        <f ca="1">IFERROR(__xludf.DUMMYFUNCTION("""COMPUTED_VALUE"""),"")</f>
        <v/>
      </c>
      <c r="V80" s="24" t="str">
        <f ca="1">IFERROR(__xludf.DUMMYFUNCTION("""COMPUTED_VALUE"""),"")</f>
        <v/>
      </c>
      <c r="W80" s="25" t="str">
        <f ca="1">IFERROR(__xludf.DUMMYFUNCTION("""COMPUTED_VALUE"""),"")</f>
        <v/>
      </c>
      <c r="X80" s="24" t="str">
        <f ca="1">IFERROR(__xludf.DUMMYFUNCTION("""COMPUTED_VALUE"""),"")</f>
        <v/>
      </c>
      <c r="Y80" s="24" t="str">
        <f ca="1">IFERROR(__xludf.DUMMYFUNCTION("""COMPUTED_VALUE"""),"")</f>
        <v/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>
      <c r="A81" s="22">
        <v>76</v>
      </c>
      <c r="B81" s="27" t="str">
        <f ca="1">IFERROR(__xludf.DUMMYFUNCTION("""COMPUTED_VALUE"""),"")</f>
        <v/>
      </c>
      <c r="C81" s="24" t="str">
        <f ca="1">IFERROR(__xludf.DUMMYFUNCTION("""COMPUTED_VALUE"""),"")</f>
        <v/>
      </c>
      <c r="D81" s="24" t="str">
        <f ca="1">IFERROR(__xludf.DUMMYFUNCTION("""COMPUTED_VALUE"""),"")</f>
        <v/>
      </c>
      <c r="E81" s="24" t="str">
        <f ca="1">IFERROR(__xludf.DUMMYFUNCTION("""COMPUTED_VALUE"""),"")</f>
        <v/>
      </c>
      <c r="F81" s="24" t="str">
        <f ca="1">IFERROR(__xludf.DUMMYFUNCTION("""COMPUTED_VALUE"""),"")</f>
        <v/>
      </c>
      <c r="G81" s="24" t="str">
        <f ca="1">IFERROR(__xludf.DUMMYFUNCTION("""COMPUTED_VALUE"""),"")</f>
        <v/>
      </c>
      <c r="H81" s="25" t="str">
        <f ca="1">IFERROR(__xludf.DUMMYFUNCTION("""COMPUTED_VALUE"""),"")</f>
        <v/>
      </c>
      <c r="I81" s="24" t="str">
        <f ca="1">IFERROR(__xludf.DUMMYFUNCTION("""COMPUTED_VALUE"""),"")</f>
        <v/>
      </c>
      <c r="J81" s="25" t="str">
        <f ca="1">IFERROR(__xludf.DUMMYFUNCTION("""COMPUTED_VALUE"""),"")</f>
        <v/>
      </c>
      <c r="K81" s="25" t="str">
        <f ca="1">IFERROR(__xludf.DUMMYFUNCTION("""COMPUTED_VALUE"""),"")</f>
        <v/>
      </c>
      <c r="L81" s="25" t="str">
        <f ca="1">IFERROR(__xludf.DUMMYFUNCTION("""COMPUTED_VALUE"""),"")</f>
        <v/>
      </c>
      <c r="M81" s="25" t="str">
        <f ca="1">IFERROR(__xludf.DUMMYFUNCTION("""COMPUTED_VALUE"""),"")</f>
        <v/>
      </c>
      <c r="N81" s="25" t="str">
        <f ca="1">IFERROR(__xludf.DUMMYFUNCTION("""COMPUTED_VALUE"""),"")</f>
        <v/>
      </c>
      <c r="O81" s="25" t="str">
        <f ca="1">IFERROR(__xludf.DUMMYFUNCTION("""COMPUTED_VALUE"""),"")</f>
        <v/>
      </c>
      <c r="P81" s="24" t="str">
        <f ca="1">IFERROR(__xludf.DUMMYFUNCTION("""COMPUTED_VALUE"""),"")</f>
        <v/>
      </c>
      <c r="Q81" s="26" t="str">
        <f ca="1">IFERROR(__xludf.DUMMYFUNCTION("""COMPUTED_VALUE"""),"")</f>
        <v/>
      </c>
      <c r="R81" s="26" t="str">
        <f ca="1">IFERROR(__xludf.DUMMYFUNCTION("""COMPUTED_VALUE"""),"")</f>
        <v/>
      </c>
      <c r="S81" s="26" t="str">
        <f ca="1">IFERROR(__xludf.DUMMYFUNCTION("""COMPUTED_VALUE"""),"")</f>
        <v/>
      </c>
      <c r="T81" s="24" t="str">
        <f ca="1">IFERROR(__xludf.DUMMYFUNCTION("""COMPUTED_VALUE"""),"")</f>
        <v/>
      </c>
      <c r="U81" s="24" t="str">
        <f ca="1">IFERROR(__xludf.DUMMYFUNCTION("""COMPUTED_VALUE"""),"")</f>
        <v/>
      </c>
      <c r="V81" s="24" t="str">
        <f ca="1">IFERROR(__xludf.DUMMYFUNCTION("""COMPUTED_VALUE"""),"")</f>
        <v/>
      </c>
      <c r="W81" s="25" t="str">
        <f ca="1">IFERROR(__xludf.DUMMYFUNCTION("""COMPUTED_VALUE"""),"")</f>
        <v/>
      </c>
      <c r="X81" s="24" t="str">
        <f ca="1">IFERROR(__xludf.DUMMYFUNCTION("""COMPUTED_VALUE"""),"")</f>
        <v/>
      </c>
      <c r="Y81" s="24" t="str">
        <f ca="1">IFERROR(__xludf.DUMMYFUNCTION("""COMPUTED_VALUE"""),"")</f>
        <v/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>
      <c r="A82" s="22">
        <v>77</v>
      </c>
      <c r="B82" s="27" t="str">
        <f ca="1">IFERROR(__xludf.DUMMYFUNCTION("""COMPUTED_VALUE"""),"")</f>
        <v/>
      </c>
      <c r="C82" s="24" t="str">
        <f ca="1">IFERROR(__xludf.DUMMYFUNCTION("""COMPUTED_VALUE"""),"")</f>
        <v/>
      </c>
      <c r="D82" s="24" t="str">
        <f ca="1">IFERROR(__xludf.DUMMYFUNCTION("""COMPUTED_VALUE"""),"")</f>
        <v/>
      </c>
      <c r="E82" s="24" t="str">
        <f ca="1">IFERROR(__xludf.DUMMYFUNCTION("""COMPUTED_VALUE"""),"")</f>
        <v/>
      </c>
      <c r="F82" s="24" t="str">
        <f ca="1">IFERROR(__xludf.DUMMYFUNCTION("""COMPUTED_VALUE"""),"")</f>
        <v/>
      </c>
      <c r="G82" s="24" t="str">
        <f ca="1">IFERROR(__xludf.DUMMYFUNCTION("""COMPUTED_VALUE"""),"")</f>
        <v/>
      </c>
      <c r="H82" s="25" t="str">
        <f ca="1">IFERROR(__xludf.DUMMYFUNCTION("""COMPUTED_VALUE"""),"")</f>
        <v/>
      </c>
      <c r="I82" s="24" t="str">
        <f ca="1">IFERROR(__xludf.DUMMYFUNCTION("""COMPUTED_VALUE"""),"")</f>
        <v/>
      </c>
      <c r="J82" s="25" t="str">
        <f ca="1">IFERROR(__xludf.DUMMYFUNCTION("""COMPUTED_VALUE"""),"")</f>
        <v/>
      </c>
      <c r="K82" s="25" t="str">
        <f ca="1">IFERROR(__xludf.DUMMYFUNCTION("""COMPUTED_VALUE"""),"")</f>
        <v/>
      </c>
      <c r="L82" s="25" t="str">
        <f ca="1">IFERROR(__xludf.DUMMYFUNCTION("""COMPUTED_VALUE"""),"")</f>
        <v/>
      </c>
      <c r="M82" s="25" t="str">
        <f ca="1">IFERROR(__xludf.DUMMYFUNCTION("""COMPUTED_VALUE"""),"")</f>
        <v/>
      </c>
      <c r="N82" s="25" t="str">
        <f ca="1">IFERROR(__xludf.DUMMYFUNCTION("""COMPUTED_VALUE"""),"")</f>
        <v/>
      </c>
      <c r="O82" s="25" t="str">
        <f ca="1">IFERROR(__xludf.DUMMYFUNCTION("""COMPUTED_VALUE"""),"")</f>
        <v/>
      </c>
      <c r="P82" s="24" t="str">
        <f ca="1">IFERROR(__xludf.DUMMYFUNCTION("""COMPUTED_VALUE"""),"")</f>
        <v/>
      </c>
      <c r="Q82" s="26" t="str">
        <f ca="1">IFERROR(__xludf.DUMMYFUNCTION("""COMPUTED_VALUE"""),"")</f>
        <v/>
      </c>
      <c r="R82" s="26" t="str">
        <f ca="1">IFERROR(__xludf.DUMMYFUNCTION("""COMPUTED_VALUE"""),"")</f>
        <v/>
      </c>
      <c r="S82" s="26" t="str">
        <f ca="1">IFERROR(__xludf.DUMMYFUNCTION("""COMPUTED_VALUE"""),"")</f>
        <v/>
      </c>
      <c r="T82" s="24" t="str">
        <f ca="1">IFERROR(__xludf.DUMMYFUNCTION("""COMPUTED_VALUE"""),"")</f>
        <v/>
      </c>
      <c r="U82" s="24" t="str">
        <f ca="1">IFERROR(__xludf.DUMMYFUNCTION("""COMPUTED_VALUE"""),"")</f>
        <v/>
      </c>
      <c r="V82" s="24" t="str">
        <f ca="1">IFERROR(__xludf.DUMMYFUNCTION("""COMPUTED_VALUE"""),"")</f>
        <v/>
      </c>
      <c r="W82" s="25" t="str">
        <f ca="1">IFERROR(__xludf.DUMMYFUNCTION("""COMPUTED_VALUE"""),"")</f>
        <v/>
      </c>
      <c r="X82" s="24" t="str">
        <f ca="1">IFERROR(__xludf.DUMMYFUNCTION("""COMPUTED_VALUE"""),"")</f>
        <v/>
      </c>
      <c r="Y82" s="24" t="str">
        <f ca="1">IFERROR(__xludf.DUMMYFUNCTION("""COMPUTED_VALUE"""),"")</f>
        <v/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>
      <c r="A83" s="22">
        <v>78</v>
      </c>
      <c r="B83" s="27" t="str">
        <f ca="1">IFERROR(__xludf.DUMMYFUNCTION("""COMPUTED_VALUE"""),"")</f>
        <v/>
      </c>
      <c r="C83" s="24" t="str">
        <f ca="1">IFERROR(__xludf.DUMMYFUNCTION("""COMPUTED_VALUE"""),"")</f>
        <v/>
      </c>
      <c r="D83" s="24" t="str">
        <f ca="1">IFERROR(__xludf.DUMMYFUNCTION("""COMPUTED_VALUE"""),"")</f>
        <v/>
      </c>
      <c r="E83" s="24" t="str">
        <f ca="1">IFERROR(__xludf.DUMMYFUNCTION("""COMPUTED_VALUE"""),"")</f>
        <v/>
      </c>
      <c r="F83" s="24" t="str">
        <f ca="1">IFERROR(__xludf.DUMMYFUNCTION("""COMPUTED_VALUE"""),"")</f>
        <v/>
      </c>
      <c r="G83" s="24" t="str">
        <f ca="1">IFERROR(__xludf.DUMMYFUNCTION("""COMPUTED_VALUE"""),"")</f>
        <v/>
      </c>
      <c r="H83" s="25" t="str">
        <f ca="1">IFERROR(__xludf.DUMMYFUNCTION("""COMPUTED_VALUE"""),"")</f>
        <v/>
      </c>
      <c r="I83" s="24" t="str">
        <f ca="1">IFERROR(__xludf.DUMMYFUNCTION("""COMPUTED_VALUE"""),"")</f>
        <v/>
      </c>
      <c r="J83" s="25" t="str">
        <f ca="1">IFERROR(__xludf.DUMMYFUNCTION("""COMPUTED_VALUE"""),"")</f>
        <v/>
      </c>
      <c r="K83" s="25" t="str">
        <f ca="1">IFERROR(__xludf.DUMMYFUNCTION("""COMPUTED_VALUE"""),"")</f>
        <v/>
      </c>
      <c r="L83" s="25" t="str">
        <f ca="1">IFERROR(__xludf.DUMMYFUNCTION("""COMPUTED_VALUE"""),"")</f>
        <v/>
      </c>
      <c r="M83" s="25" t="str">
        <f ca="1">IFERROR(__xludf.DUMMYFUNCTION("""COMPUTED_VALUE"""),"")</f>
        <v/>
      </c>
      <c r="N83" s="25" t="str">
        <f ca="1">IFERROR(__xludf.DUMMYFUNCTION("""COMPUTED_VALUE"""),"")</f>
        <v/>
      </c>
      <c r="O83" s="25" t="str">
        <f ca="1">IFERROR(__xludf.DUMMYFUNCTION("""COMPUTED_VALUE"""),"")</f>
        <v/>
      </c>
      <c r="P83" s="24" t="str">
        <f ca="1">IFERROR(__xludf.DUMMYFUNCTION("""COMPUTED_VALUE"""),"")</f>
        <v/>
      </c>
      <c r="Q83" s="26" t="str">
        <f ca="1">IFERROR(__xludf.DUMMYFUNCTION("""COMPUTED_VALUE"""),"")</f>
        <v/>
      </c>
      <c r="R83" s="26" t="str">
        <f ca="1">IFERROR(__xludf.DUMMYFUNCTION("""COMPUTED_VALUE"""),"")</f>
        <v/>
      </c>
      <c r="S83" s="26" t="str">
        <f ca="1">IFERROR(__xludf.DUMMYFUNCTION("""COMPUTED_VALUE"""),"")</f>
        <v/>
      </c>
      <c r="T83" s="24" t="str">
        <f ca="1">IFERROR(__xludf.DUMMYFUNCTION("""COMPUTED_VALUE"""),"")</f>
        <v/>
      </c>
      <c r="U83" s="24" t="str">
        <f ca="1">IFERROR(__xludf.DUMMYFUNCTION("""COMPUTED_VALUE"""),"")</f>
        <v/>
      </c>
      <c r="V83" s="24" t="str">
        <f ca="1">IFERROR(__xludf.DUMMYFUNCTION("""COMPUTED_VALUE"""),"")</f>
        <v/>
      </c>
      <c r="W83" s="25" t="str">
        <f ca="1">IFERROR(__xludf.DUMMYFUNCTION("""COMPUTED_VALUE"""),"")</f>
        <v/>
      </c>
      <c r="X83" s="24" t="str">
        <f ca="1">IFERROR(__xludf.DUMMYFUNCTION("""COMPUTED_VALUE"""),"")</f>
        <v/>
      </c>
      <c r="Y83" s="24" t="str">
        <f ca="1">IFERROR(__xludf.DUMMYFUNCTION("""COMPUTED_VALUE"""),"")</f>
        <v/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>
      <c r="A84" s="22">
        <v>79</v>
      </c>
      <c r="B84" s="27" t="str">
        <f ca="1">IFERROR(__xludf.DUMMYFUNCTION("""COMPUTED_VALUE"""),"")</f>
        <v/>
      </c>
      <c r="C84" s="24" t="str">
        <f ca="1">IFERROR(__xludf.DUMMYFUNCTION("""COMPUTED_VALUE"""),"")</f>
        <v/>
      </c>
      <c r="D84" s="24" t="str">
        <f ca="1">IFERROR(__xludf.DUMMYFUNCTION("""COMPUTED_VALUE"""),"")</f>
        <v/>
      </c>
      <c r="E84" s="24" t="str">
        <f ca="1">IFERROR(__xludf.DUMMYFUNCTION("""COMPUTED_VALUE"""),"")</f>
        <v/>
      </c>
      <c r="F84" s="24" t="str">
        <f ca="1">IFERROR(__xludf.DUMMYFUNCTION("""COMPUTED_VALUE"""),"")</f>
        <v/>
      </c>
      <c r="G84" s="24" t="str">
        <f ca="1">IFERROR(__xludf.DUMMYFUNCTION("""COMPUTED_VALUE"""),"")</f>
        <v/>
      </c>
      <c r="H84" s="25" t="str">
        <f ca="1">IFERROR(__xludf.DUMMYFUNCTION("""COMPUTED_VALUE"""),"")</f>
        <v/>
      </c>
      <c r="I84" s="24" t="str">
        <f ca="1">IFERROR(__xludf.DUMMYFUNCTION("""COMPUTED_VALUE"""),"")</f>
        <v/>
      </c>
      <c r="J84" s="25" t="str">
        <f ca="1">IFERROR(__xludf.DUMMYFUNCTION("""COMPUTED_VALUE"""),"")</f>
        <v/>
      </c>
      <c r="K84" s="25" t="str">
        <f ca="1">IFERROR(__xludf.DUMMYFUNCTION("""COMPUTED_VALUE"""),"")</f>
        <v/>
      </c>
      <c r="L84" s="25" t="str">
        <f ca="1">IFERROR(__xludf.DUMMYFUNCTION("""COMPUTED_VALUE"""),"")</f>
        <v/>
      </c>
      <c r="M84" s="25" t="str">
        <f ca="1">IFERROR(__xludf.DUMMYFUNCTION("""COMPUTED_VALUE"""),"")</f>
        <v/>
      </c>
      <c r="N84" s="25" t="str">
        <f ca="1">IFERROR(__xludf.DUMMYFUNCTION("""COMPUTED_VALUE"""),"")</f>
        <v/>
      </c>
      <c r="O84" s="25" t="str">
        <f ca="1">IFERROR(__xludf.DUMMYFUNCTION("""COMPUTED_VALUE"""),"")</f>
        <v/>
      </c>
      <c r="P84" s="24" t="str">
        <f ca="1">IFERROR(__xludf.DUMMYFUNCTION("""COMPUTED_VALUE"""),"")</f>
        <v/>
      </c>
      <c r="Q84" s="26" t="str">
        <f ca="1">IFERROR(__xludf.DUMMYFUNCTION("""COMPUTED_VALUE"""),"")</f>
        <v/>
      </c>
      <c r="R84" s="26" t="str">
        <f ca="1">IFERROR(__xludf.DUMMYFUNCTION("""COMPUTED_VALUE"""),"")</f>
        <v/>
      </c>
      <c r="S84" s="26" t="str">
        <f ca="1">IFERROR(__xludf.DUMMYFUNCTION("""COMPUTED_VALUE"""),"")</f>
        <v/>
      </c>
      <c r="T84" s="24" t="str">
        <f ca="1">IFERROR(__xludf.DUMMYFUNCTION("""COMPUTED_VALUE"""),"")</f>
        <v/>
      </c>
      <c r="U84" s="24" t="str">
        <f ca="1">IFERROR(__xludf.DUMMYFUNCTION("""COMPUTED_VALUE"""),"")</f>
        <v/>
      </c>
      <c r="V84" s="24" t="str">
        <f ca="1">IFERROR(__xludf.DUMMYFUNCTION("""COMPUTED_VALUE"""),"")</f>
        <v/>
      </c>
      <c r="W84" s="25" t="str">
        <f ca="1">IFERROR(__xludf.DUMMYFUNCTION("""COMPUTED_VALUE"""),"")</f>
        <v/>
      </c>
      <c r="X84" s="24" t="str">
        <f ca="1">IFERROR(__xludf.DUMMYFUNCTION("""COMPUTED_VALUE"""),"")</f>
        <v/>
      </c>
      <c r="Y84" s="24" t="str">
        <f ca="1">IFERROR(__xludf.DUMMYFUNCTION("""COMPUTED_VALUE"""),"")</f>
        <v/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>
      <c r="A85" s="22">
        <v>80</v>
      </c>
      <c r="B85" s="27" t="str">
        <f ca="1">IFERROR(__xludf.DUMMYFUNCTION("""COMPUTED_VALUE"""),"")</f>
        <v/>
      </c>
      <c r="C85" s="24" t="str">
        <f ca="1">IFERROR(__xludf.DUMMYFUNCTION("""COMPUTED_VALUE"""),"")</f>
        <v/>
      </c>
      <c r="D85" s="24" t="str">
        <f ca="1">IFERROR(__xludf.DUMMYFUNCTION("""COMPUTED_VALUE"""),"")</f>
        <v/>
      </c>
      <c r="E85" s="24" t="str">
        <f ca="1">IFERROR(__xludf.DUMMYFUNCTION("""COMPUTED_VALUE"""),"")</f>
        <v/>
      </c>
      <c r="F85" s="24" t="str">
        <f ca="1">IFERROR(__xludf.DUMMYFUNCTION("""COMPUTED_VALUE"""),"")</f>
        <v/>
      </c>
      <c r="G85" s="24" t="str">
        <f ca="1">IFERROR(__xludf.DUMMYFUNCTION("""COMPUTED_VALUE"""),"")</f>
        <v/>
      </c>
      <c r="H85" s="25" t="str">
        <f ca="1">IFERROR(__xludf.DUMMYFUNCTION("""COMPUTED_VALUE"""),"")</f>
        <v/>
      </c>
      <c r="I85" s="24" t="str">
        <f ca="1">IFERROR(__xludf.DUMMYFUNCTION("""COMPUTED_VALUE"""),"")</f>
        <v/>
      </c>
      <c r="J85" s="25" t="str">
        <f ca="1">IFERROR(__xludf.DUMMYFUNCTION("""COMPUTED_VALUE"""),"")</f>
        <v/>
      </c>
      <c r="K85" s="25" t="str">
        <f ca="1">IFERROR(__xludf.DUMMYFUNCTION("""COMPUTED_VALUE"""),"")</f>
        <v/>
      </c>
      <c r="L85" s="25" t="str">
        <f ca="1">IFERROR(__xludf.DUMMYFUNCTION("""COMPUTED_VALUE"""),"")</f>
        <v/>
      </c>
      <c r="M85" s="25" t="str">
        <f ca="1">IFERROR(__xludf.DUMMYFUNCTION("""COMPUTED_VALUE"""),"")</f>
        <v/>
      </c>
      <c r="N85" s="25" t="str">
        <f ca="1">IFERROR(__xludf.DUMMYFUNCTION("""COMPUTED_VALUE"""),"")</f>
        <v/>
      </c>
      <c r="O85" s="25" t="str">
        <f ca="1">IFERROR(__xludf.DUMMYFUNCTION("""COMPUTED_VALUE"""),"")</f>
        <v/>
      </c>
      <c r="P85" s="24" t="str">
        <f ca="1">IFERROR(__xludf.DUMMYFUNCTION("""COMPUTED_VALUE"""),"")</f>
        <v/>
      </c>
      <c r="Q85" s="26" t="str">
        <f ca="1">IFERROR(__xludf.DUMMYFUNCTION("""COMPUTED_VALUE"""),"")</f>
        <v/>
      </c>
      <c r="R85" s="26" t="str">
        <f ca="1">IFERROR(__xludf.DUMMYFUNCTION("""COMPUTED_VALUE"""),"")</f>
        <v/>
      </c>
      <c r="S85" s="26" t="str">
        <f ca="1">IFERROR(__xludf.DUMMYFUNCTION("""COMPUTED_VALUE"""),"")</f>
        <v/>
      </c>
      <c r="T85" s="24" t="str">
        <f ca="1">IFERROR(__xludf.DUMMYFUNCTION("""COMPUTED_VALUE"""),"")</f>
        <v/>
      </c>
      <c r="U85" s="24" t="str">
        <f ca="1">IFERROR(__xludf.DUMMYFUNCTION("""COMPUTED_VALUE"""),"")</f>
        <v/>
      </c>
      <c r="V85" s="24" t="str">
        <f ca="1">IFERROR(__xludf.DUMMYFUNCTION("""COMPUTED_VALUE"""),"")</f>
        <v/>
      </c>
      <c r="W85" s="25" t="str">
        <f ca="1">IFERROR(__xludf.DUMMYFUNCTION("""COMPUTED_VALUE"""),"")</f>
        <v/>
      </c>
      <c r="X85" s="24" t="str">
        <f ca="1">IFERROR(__xludf.DUMMYFUNCTION("""COMPUTED_VALUE"""),"")</f>
        <v/>
      </c>
      <c r="Y85" s="24" t="str">
        <f ca="1">IFERROR(__xludf.DUMMYFUNCTION("""COMPUTED_VALUE"""),"")</f>
        <v/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>
      <c r="A86" s="22">
        <v>81</v>
      </c>
      <c r="B86" s="27" t="str">
        <f ca="1">IFERROR(__xludf.DUMMYFUNCTION("""COMPUTED_VALUE"""),"")</f>
        <v/>
      </c>
      <c r="C86" s="24" t="str">
        <f ca="1">IFERROR(__xludf.DUMMYFUNCTION("""COMPUTED_VALUE"""),"")</f>
        <v/>
      </c>
      <c r="D86" s="24" t="str">
        <f ca="1">IFERROR(__xludf.DUMMYFUNCTION("""COMPUTED_VALUE"""),"")</f>
        <v/>
      </c>
      <c r="E86" s="24" t="str">
        <f ca="1">IFERROR(__xludf.DUMMYFUNCTION("""COMPUTED_VALUE"""),"")</f>
        <v/>
      </c>
      <c r="F86" s="24" t="str">
        <f ca="1">IFERROR(__xludf.DUMMYFUNCTION("""COMPUTED_VALUE"""),"")</f>
        <v/>
      </c>
      <c r="G86" s="24" t="str">
        <f ca="1">IFERROR(__xludf.DUMMYFUNCTION("""COMPUTED_VALUE"""),"")</f>
        <v/>
      </c>
      <c r="H86" s="25" t="str">
        <f ca="1">IFERROR(__xludf.DUMMYFUNCTION("""COMPUTED_VALUE"""),"")</f>
        <v/>
      </c>
      <c r="I86" s="24" t="str">
        <f ca="1">IFERROR(__xludf.DUMMYFUNCTION("""COMPUTED_VALUE"""),"")</f>
        <v/>
      </c>
      <c r="J86" s="25" t="str">
        <f ca="1">IFERROR(__xludf.DUMMYFUNCTION("""COMPUTED_VALUE"""),"")</f>
        <v/>
      </c>
      <c r="K86" s="25" t="str">
        <f ca="1">IFERROR(__xludf.DUMMYFUNCTION("""COMPUTED_VALUE"""),"")</f>
        <v/>
      </c>
      <c r="L86" s="25" t="str">
        <f ca="1">IFERROR(__xludf.DUMMYFUNCTION("""COMPUTED_VALUE"""),"")</f>
        <v/>
      </c>
      <c r="M86" s="25" t="str">
        <f ca="1">IFERROR(__xludf.DUMMYFUNCTION("""COMPUTED_VALUE"""),"")</f>
        <v/>
      </c>
      <c r="N86" s="25" t="str">
        <f ca="1">IFERROR(__xludf.DUMMYFUNCTION("""COMPUTED_VALUE"""),"")</f>
        <v/>
      </c>
      <c r="O86" s="25" t="str">
        <f ca="1">IFERROR(__xludf.DUMMYFUNCTION("""COMPUTED_VALUE"""),"")</f>
        <v/>
      </c>
      <c r="P86" s="24" t="str">
        <f ca="1">IFERROR(__xludf.DUMMYFUNCTION("""COMPUTED_VALUE"""),"")</f>
        <v/>
      </c>
      <c r="Q86" s="26" t="str">
        <f ca="1">IFERROR(__xludf.DUMMYFUNCTION("""COMPUTED_VALUE"""),"")</f>
        <v/>
      </c>
      <c r="R86" s="26" t="str">
        <f ca="1">IFERROR(__xludf.DUMMYFUNCTION("""COMPUTED_VALUE"""),"")</f>
        <v/>
      </c>
      <c r="S86" s="26" t="str">
        <f ca="1">IFERROR(__xludf.DUMMYFUNCTION("""COMPUTED_VALUE"""),"")</f>
        <v/>
      </c>
      <c r="T86" s="24" t="str">
        <f ca="1">IFERROR(__xludf.DUMMYFUNCTION("""COMPUTED_VALUE"""),"")</f>
        <v/>
      </c>
      <c r="U86" s="24" t="str">
        <f ca="1">IFERROR(__xludf.DUMMYFUNCTION("""COMPUTED_VALUE"""),"")</f>
        <v/>
      </c>
      <c r="V86" s="24" t="str">
        <f ca="1">IFERROR(__xludf.DUMMYFUNCTION("""COMPUTED_VALUE"""),"")</f>
        <v/>
      </c>
      <c r="W86" s="25" t="str">
        <f ca="1">IFERROR(__xludf.DUMMYFUNCTION("""COMPUTED_VALUE"""),"")</f>
        <v/>
      </c>
      <c r="X86" s="24" t="str">
        <f ca="1">IFERROR(__xludf.DUMMYFUNCTION("""COMPUTED_VALUE"""),"")</f>
        <v/>
      </c>
      <c r="Y86" s="24" t="str">
        <f ca="1">IFERROR(__xludf.DUMMYFUNCTION("""COMPUTED_VALUE"""),"")</f>
        <v/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>
      <c r="A87" s="22">
        <v>82</v>
      </c>
      <c r="B87" s="27" t="str">
        <f ca="1">IFERROR(__xludf.DUMMYFUNCTION("""COMPUTED_VALUE"""),"")</f>
        <v/>
      </c>
      <c r="C87" s="24" t="str">
        <f ca="1">IFERROR(__xludf.DUMMYFUNCTION("""COMPUTED_VALUE"""),"")</f>
        <v/>
      </c>
      <c r="D87" s="24" t="str">
        <f ca="1">IFERROR(__xludf.DUMMYFUNCTION("""COMPUTED_VALUE"""),"")</f>
        <v/>
      </c>
      <c r="E87" s="24" t="str">
        <f ca="1">IFERROR(__xludf.DUMMYFUNCTION("""COMPUTED_VALUE"""),"")</f>
        <v/>
      </c>
      <c r="F87" s="24" t="str">
        <f ca="1">IFERROR(__xludf.DUMMYFUNCTION("""COMPUTED_VALUE"""),"")</f>
        <v/>
      </c>
      <c r="G87" s="24" t="str">
        <f ca="1">IFERROR(__xludf.DUMMYFUNCTION("""COMPUTED_VALUE"""),"")</f>
        <v/>
      </c>
      <c r="H87" s="25" t="str">
        <f ca="1">IFERROR(__xludf.DUMMYFUNCTION("""COMPUTED_VALUE"""),"")</f>
        <v/>
      </c>
      <c r="I87" s="24" t="str">
        <f ca="1">IFERROR(__xludf.DUMMYFUNCTION("""COMPUTED_VALUE"""),"")</f>
        <v/>
      </c>
      <c r="J87" s="25" t="str">
        <f ca="1">IFERROR(__xludf.DUMMYFUNCTION("""COMPUTED_VALUE"""),"")</f>
        <v/>
      </c>
      <c r="K87" s="25" t="str">
        <f ca="1">IFERROR(__xludf.DUMMYFUNCTION("""COMPUTED_VALUE"""),"")</f>
        <v/>
      </c>
      <c r="L87" s="25" t="str">
        <f ca="1">IFERROR(__xludf.DUMMYFUNCTION("""COMPUTED_VALUE"""),"")</f>
        <v/>
      </c>
      <c r="M87" s="25" t="str">
        <f ca="1">IFERROR(__xludf.DUMMYFUNCTION("""COMPUTED_VALUE"""),"")</f>
        <v/>
      </c>
      <c r="N87" s="25" t="str">
        <f ca="1">IFERROR(__xludf.DUMMYFUNCTION("""COMPUTED_VALUE"""),"")</f>
        <v/>
      </c>
      <c r="O87" s="25" t="str">
        <f ca="1">IFERROR(__xludf.DUMMYFUNCTION("""COMPUTED_VALUE"""),"")</f>
        <v/>
      </c>
      <c r="P87" s="24" t="str">
        <f ca="1">IFERROR(__xludf.DUMMYFUNCTION("""COMPUTED_VALUE"""),"")</f>
        <v/>
      </c>
      <c r="Q87" s="26" t="str">
        <f ca="1">IFERROR(__xludf.DUMMYFUNCTION("""COMPUTED_VALUE"""),"")</f>
        <v/>
      </c>
      <c r="R87" s="26" t="str">
        <f ca="1">IFERROR(__xludf.DUMMYFUNCTION("""COMPUTED_VALUE"""),"")</f>
        <v/>
      </c>
      <c r="S87" s="26" t="str">
        <f ca="1">IFERROR(__xludf.DUMMYFUNCTION("""COMPUTED_VALUE"""),"")</f>
        <v/>
      </c>
      <c r="T87" s="24" t="str">
        <f ca="1">IFERROR(__xludf.DUMMYFUNCTION("""COMPUTED_VALUE"""),"")</f>
        <v/>
      </c>
      <c r="U87" s="24" t="str">
        <f ca="1">IFERROR(__xludf.DUMMYFUNCTION("""COMPUTED_VALUE"""),"")</f>
        <v/>
      </c>
      <c r="V87" s="24" t="str">
        <f ca="1">IFERROR(__xludf.DUMMYFUNCTION("""COMPUTED_VALUE"""),"")</f>
        <v/>
      </c>
      <c r="W87" s="25" t="str">
        <f ca="1">IFERROR(__xludf.DUMMYFUNCTION("""COMPUTED_VALUE"""),"")</f>
        <v/>
      </c>
      <c r="X87" s="24" t="str">
        <f ca="1">IFERROR(__xludf.DUMMYFUNCTION("""COMPUTED_VALUE"""),"")</f>
        <v/>
      </c>
      <c r="Y87" s="24" t="str">
        <f ca="1">IFERROR(__xludf.DUMMYFUNCTION("""COMPUTED_VALUE"""),"")</f>
        <v/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>
      <c r="A88" s="22">
        <v>83</v>
      </c>
      <c r="B88" s="27" t="str">
        <f ca="1">IFERROR(__xludf.DUMMYFUNCTION("""COMPUTED_VALUE"""),"")</f>
        <v/>
      </c>
      <c r="C88" s="24" t="str">
        <f ca="1">IFERROR(__xludf.DUMMYFUNCTION("""COMPUTED_VALUE"""),"")</f>
        <v/>
      </c>
      <c r="D88" s="24" t="str">
        <f ca="1">IFERROR(__xludf.DUMMYFUNCTION("""COMPUTED_VALUE"""),"")</f>
        <v/>
      </c>
      <c r="E88" s="24" t="str">
        <f ca="1">IFERROR(__xludf.DUMMYFUNCTION("""COMPUTED_VALUE"""),"")</f>
        <v/>
      </c>
      <c r="F88" s="24" t="str">
        <f ca="1">IFERROR(__xludf.DUMMYFUNCTION("""COMPUTED_VALUE"""),"")</f>
        <v/>
      </c>
      <c r="G88" s="24" t="str">
        <f ca="1">IFERROR(__xludf.DUMMYFUNCTION("""COMPUTED_VALUE"""),"")</f>
        <v/>
      </c>
      <c r="H88" s="25" t="str">
        <f ca="1">IFERROR(__xludf.DUMMYFUNCTION("""COMPUTED_VALUE"""),"")</f>
        <v/>
      </c>
      <c r="I88" s="24" t="str">
        <f ca="1">IFERROR(__xludf.DUMMYFUNCTION("""COMPUTED_VALUE"""),"")</f>
        <v/>
      </c>
      <c r="J88" s="25" t="str">
        <f ca="1">IFERROR(__xludf.DUMMYFUNCTION("""COMPUTED_VALUE"""),"")</f>
        <v/>
      </c>
      <c r="K88" s="25" t="str">
        <f ca="1">IFERROR(__xludf.DUMMYFUNCTION("""COMPUTED_VALUE"""),"")</f>
        <v/>
      </c>
      <c r="L88" s="25" t="str">
        <f ca="1">IFERROR(__xludf.DUMMYFUNCTION("""COMPUTED_VALUE"""),"")</f>
        <v/>
      </c>
      <c r="M88" s="25" t="str">
        <f ca="1">IFERROR(__xludf.DUMMYFUNCTION("""COMPUTED_VALUE"""),"")</f>
        <v/>
      </c>
      <c r="N88" s="25" t="str">
        <f ca="1">IFERROR(__xludf.DUMMYFUNCTION("""COMPUTED_VALUE"""),"")</f>
        <v/>
      </c>
      <c r="O88" s="25" t="str">
        <f ca="1">IFERROR(__xludf.DUMMYFUNCTION("""COMPUTED_VALUE"""),"")</f>
        <v/>
      </c>
      <c r="P88" s="24" t="str">
        <f ca="1">IFERROR(__xludf.DUMMYFUNCTION("""COMPUTED_VALUE"""),"")</f>
        <v/>
      </c>
      <c r="Q88" s="26" t="str">
        <f ca="1">IFERROR(__xludf.DUMMYFUNCTION("""COMPUTED_VALUE"""),"")</f>
        <v/>
      </c>
      <c r="R88" s="26" t="str">
        <f ca="1">IFERROR(__xludf.DUMMYFUNCTION("""COMPUTED_VALUE"""),"")</f>
        <v/>
      </c>
      <c r="S88" s="26" t="str">
        <f ca="1">IFERROR(__xludf.DUMMYFUNCTION("""COMPUTED_VALUE"""),"")</f>
        <v/>
      </c>
      <c r="T88" s="24" t="str">
        <f ca="1">IFERROR(__xludf.DUMMYFUNCTION("""COMPUTED_VALUE"""),"")</f>
        <v/>
      </c>
      <c r="U88" s="24" t="str">
        <f ca="1">IFERROR(__xludf.DUMMYFUNCTION("""COMPUTED_VALUE"""),"")</f>
        <v/>
      </c>
      <c r="V88" s="24" t="str">
        <f ca="1">IFERROR(__xludf.DUMMYFUNCTION("""COMPUTED_VALUE"""),"")</f>
        <v/>
      </c>
      <c r="W88" s="25" t="str">
        <f ca="1">IFERROR(__xludf.DUMMYFUNCTION("""COMPUTED_VALUE"""),"")</f>
        <v/>
      </c>
      <c r="X88" s="24" t="str">
        <f ca="1">IFERROR(__xludf.DUMMYFUNCTION("""COMPUTED_VALUE"""),"")</f>
        <v/>
      </c>
      <c r="Y88" s="24" t="str">
        <f ca="1">IFERROR(__xludf.DUMMYFUNCTION("""COMPUTED_VALUE"""),"")</f>
        <v/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>
      <c r="A89" s="22">
        <v>84</v>
      </c>
      <c r="B89" s="27" t="str">
        <f ca="1">IFERROR(__xludf.DUMMYFUNCTION("""COMPUTED_VALUE"""),"")</f>
        <v/>
      </c>
      <c r="C89" s="24" t="str">
        <f ca="1">IFERROR(__xludf.DUMMYFUNCTION("""COMPUTED_VALUE"""),"")</f>
        <v/>
      </c>
      <c r="D89" s="24" t="str">
        <f ca="1">IFERROR(__xludf.DUMMYFUNCTION("""COMPUTED_VALUE"""),"")</f>
        <v/>
      </c>
      <c r="E89" s="24" t="str">
        <f ca="1">IFERROR(__xludf.DUMMYFUNCTION("""COMPUTED_VALUE"""),"")</f>
        <v/>
      </c>
      <c r="F89" s="24" t="str">
        <f ca="1">IFERROR(__xludf.DUMMYFUNCTION("""COMPUTED_VALUE"""),"")</f>
        <v/>
      </c>
      <c r="G89" s="24" t="str">
        <f ca="1">IFERROR(__xludf.DUMMYFUNCTION("""COMPUTED_VALUE"""),"")</f>
        <v/>
      </c>
      <c r="H89" s="25" t="str">
        <f ca="1">IFERROR(__xludf.DUMMYFUNCTION("""COMPUTED_VALUE"""),"")</f>
        <v/>
      </c>
      <c r="I89" s="24" t="str">
        <f ca="1">IFERROR(__xludf.DUMMYFUNCTION("""COMPUTED_VALUE"""),"")</f>
        <v/>
      </c>
      <c r="J89" s="25" t="str">
        <f ca="1">IFERROR(__xludf.DUMMYFUNCTION("""COMPUTED_VALUE"""),"")</f>
        <v/>
      </c>
      <c r="K89" s="25" t="str">
        <f ca="1">IFERROR(__xludf.DUMMYFUNCTION("""COMPUTED_VALUE"""),"")</f>
        <v/>
      </c>
      <c r="L89" s="25" t="str">
        <f ca="1">IFERROR(__xludf.DUMMYFUNCTION("""COMPUTED_VALUE"""),"")</f>
        <v/>
      </c>
      <c r="M89" s="25" t="str">
        <f ca="1">IFERROR(__xludf.DUMMYFUNCTION("""COMPUTED_VALUE"""),"")</f>
        <v/>
      </c>
      <c r="N89" s="25" t="str">
        <f ca="1">IFERROR(__xludf.DUMMYFUNCTION("""COMPUTED_VALUE"""),"")</f>
        <v/>
      </c>
      <c r="O89" s="25" t="str">
        <f ca="1">IFERROR(__xludf.DUMMYFUNCTION("""COMPUTED_VALUE"""),"")</f>
        <v/>
      </c>
      <c r="P89" s="24" t="str">
        <f ca="1">IFERROR(__xludf.DUMMYFUNCTION("""COMPUTED_VALUE"""),"")</f>
        <v/>
      </c>
      <c r="Q89" s="26" t="str">
        <f ca="1">IFERROR(__xludf.DUMMYFUNCTION("""COMPUTED_VALUE"""),"")</f>
        <v/>
      </c>
      <c r="R89" s="26" t="str">
        <f ca="1">IFERROR(__xludf.DUMMYFUNCTION("""COMPUTED_VALUE"""),"")</f>
        <v/>
      </c>
      <c r="S89" s="26" t="str">
        <f ca="1">IFERROR(__xludf.DUMMYFUNCTION("""COMPUTED_VALUE"""),"")</f>
        <v/>
      </c>
      <c r="T89" s="24" t="str">
        <f ca="1">IFERROR(__xludf.DUMMYFUNCTION("""COMPUTED_VALUE"""),"")</f>
        <v/>
      </c>
      <c r="U89" s="24" t="str">
        <f ca="1">IFERROR(__xludf.DUMMYFUNCTION("""COMPUTED_VALUE"""),"")</f>
        <v/>
      </c>
      <c r="V89" s="24" t="str">
        <f ca="1">IFERROR(__xludf.DUMMYFUNCTION("""COMPUTED_VALUE"""),"")</f>
        <v/>
      </c>
      <c r="W89" s="25" t="str">
        <f ca="1">IFERROR(__xludf.DUMMYFUNCTION("""COMPUTED_VALUE"""),"")</f>
        <v/>
      </c>
      <c r="X89" s="24" t="str">
        <f ca="1">IFERROR(__xludf.DUMMYFUNCTION("""COMPUTED_VALUE"""),"")</f>
        <v/>
      </c>
      <c r="Y89" s="24" t="str">
        <f ca="1">IFERROR(__xludf.DUMMYFUNCTION("""COMPUTED_VALUE"""),"")</f>
        <v/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>
      <c r="A90" s="22">
        <v>85</v>
      </c>
      <c r="B90" s="27" t="str">
        <f ca="1">IFERROR(__xludf.DUMMYFUNCTION("""COMPUTED_VALUE"""),"")</f>
        <v/>
      </c>
      <c r="C90" s="24" t="str">
        <f ca="1">IFERROR(__xludf.DUMMYFUNCTION("""COMPUTED_VALUE"""),"")</f>
        <v/>
      </c>
      <c r="D90" s="24" t="str">
        <f ca="1">IFERROR(__xludf.DUMMYFUNCTION("""COMPUTED_VALUE"""),"")</f>
        <v/>
      </c>
      <c r="E90" s="24" t="str">
        <f ca="1">IFERROR(__xludf.DUMMYFUNCTION("""COMPUTED_VALUE"""),"")</f>
        <v/>
      </c>
      <c r="F90" s="24" t="str">
        <f ca="1">IFERROR(__xludf.DUMMYFUNCTION("""COMPUTED_VALUE"""),"")</f>
        <v/>
      </c>
      <c r="G90" s="24" t="str">
        <f ca="1">IFERROR(__xludf.DUMMYFUNCTION("""COMPUTED_VALUE"""),"")</f>
        <v/>
      </c>
      <c r="H90" s="25" t="str">
        <f ca="1">IFERROR(__xludf.DUMMYFUNCTION("""COMPUTED_VALUE"""),"")</f>
        <v/>
      </c>
      <c r="I90" s="24" t="str">
        <f ca="1">IFERROR(__xludf.DUMMYFUNCTION("""COMPUTED_VALUE"""),"")</f>
        <v/>
      </c>
      <c r="J90" s="25" t="str">
        <f ca="1">IFERROR(__xludf.DUMMYFUNCTION("""COMPUTED_VALUE"""),"")</f>
        <v/>
      </c>
      <c r="K90" s="25" t="str">
        <f ca="1">IFERROR(__xludf.DUMMYFUNCTION("""COMPUTED_VALUE"""),"")</f>
        <v/>
      </c>
      <c r="L90" s="25" t="str">
        <f ca="1">IFERROR(__xludf.DUMMYFUNCTION("""COMPUTED_VALUE"""),"")</f>
        <v/>
      </c>
      <c r="M90" s="25" t="str">
        <f ca="1">IFERROR(__xludf.DUMMYFUNCTION("""COMPUTED_VALUE"""),"")</f>
        <v/>
      </c>
      <c r="N90" s="25" t="str">
        <f ca="1">IFERROR(__xludf.DUMMYFUNCTION("""COMPUTED_VALUE"""),"")</f>
        <v/>
      </c>
      <c r="O90" s="25" t="str">
        <f ca="1">IFERROR(__xludf.DUMMYFUNCTION("""COMPUTED_VALUE"""),"")</f>
        <v/>
      </c>
      <c r="P90" s="24" t="str">
        <f ca="1">IFERROR(__xludf.DUMMYFUNCTION("""COMPUTED_VALUE"""),"")</f>
        <v/>
      </c>
      <c r="Q90" s="26" t="str">
        <f ca="1">IFERROR(__xludf.DUMMYFUNCTION("""COMPUTED_VALUE"""),"")</f>
        <v/>
      </c>
      <c r="R90" s="26" t="str">
        <f ca="1">IFERROR(__xludf.DUMMYFUNCTION("""COMPUTED_VALUE"""),"")</f>
        <v/>
      </c>
      <c r="S90" s="26" t="str">
        <f ca="1">IFERROR(__xludf.DUMMYFUNCTION("""COMPUTED_VALUE"""),"")</f>
        <v/>
      </c>
      <c r="T90" s="24" t="str">
        <f ca="1">IFERROR(__xludf.DUMMYFUNCTION("""COMPUTED_VALUE"""),"")</f>
        <v/>
      </c>
      <c r="U90" s="24" t="str">
        <f ca="1">IFERROR(__xludf.DUMMYFUNCTION("""COMPUTED_VALUE"""),"")</f>
        <v/>
      </c>
      <c r="V90" s="24" t="str">
        <f ca="1">IFERROR(__xludf.DUMMYFUNCTION("""COMPUTED_VALUE"""),"")</f>
        <v/>
      </c>
      <c r="W90" s="25" t="str">
        <f ca="1">IFERROR(__xludf.DUMMYFUNCTION("""COMPUTED_VALUE"""),"")</f>
        <v/>
      </c>
      <c r="X90" s="24" t="str">
        <f ca="1">IFERROR(__xludf.DUMMYFUNCTION("""COMPUTED_VALUE"""),"")</f>
        <v/>
      </c>
      <c r="Y90" s="24" t="str">
        <f ca="1">IFERROR(__xludf.DUMMYFUNCTION("""COMPUTED_VALUE"""),"")</f>
        <v/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>
      <c r="A91" s="22">
        <v>86</v>
      </c>
      <c r="B91" s="27" t="str">
        <f ca="1">IFERROR(__xludf.DUMMYFUNCTION("""COMPUTED_VALUE"""),"")</f>
        <v/>
      </c>
      <c r="C91" s="24" t="str">
        <f ca="1">IFERROR(__xludf.DUMMYFUNCTION("""COMPUTED_VALUE"""),"")</f>
        <v/>
      </c>
      <c r="D91" s="24" t="str">
        <f ca="1">IFERROR(__xludf.DUMMYFUNCTION("""COMPUTED_VALUE"""),"")</f>
        <v/>
      </c>
      <c r="E91" s="24" t="str">
        <f ca="1">IFERROR(__xludf.DUMMYFUNCTION("""COMPUTED_VALUE"""),"")</f>
        <v/>
      </c>
      <c r="F91" s="24" t="str">
        <f ca="1">IFERROR(__xludf.DUMMYFUNCTION("""COMPUTED_VALUE"""),"")</f>
        <v/>
      </c>
      <c r="G91" s="24" t="str">
        <f ca="1">IFERROR(__xludf.DUMMYFUNCTION("""COMPUTED_VALUE"""),"")</f>
        <v/>
      </c>
      <c r="H91" s="25" t="str">
        <f ca="1">IFERROR(__xludf.DUMMYFUNCTION("""COMPUTED_VALUE"""),"")</f>
        <v/>
      </c>
      <c r="I91" s="24" t="str">
        <f ca="1">IFERROR(__xludf.DUMMYFUNCTION("""COMPUTED_VALUE"""),"")</f>
        <v/>
      </c>
      <c r="J91" s="25" t="str">
        <f ca="1">IFERROR(__xludf.DUMMYFUNCTION("""COMPUTED_VALUE"""),"")</f>
        <v/>
      </c>
      <c r="K91" s="25" t="str">
        <f ca="1">IFERROR(__xludf.DUMMYFUNCTION("""COMPUTED_VALUE"""),"")</f>
        <v/>
      </c>
      <c r="L91" s="25" t="str">
        <f ca="1">IFERROR(__xludf.DUMMYFUNCTION("""COMPUTED_VALUE"""),"")</f>
        <v/>
      </c>
      <c r="M91" s="25" t="str">
        <f ca="1">IFERROR(__xludf.DUMMYFUNCTION("""COMPUTED_VALUE"""),"")</f>
        <v/>
      </c>
      <c r="N91" s="25" t="str">
        <f ca="1">IFERROR(__xludf.DUMMYFUNCTION("""COMPUTED_VALUE"""),"")</f>
        <v/>
      </c>
      <c r="O91" s="25" t="str">
        <f ca="1">IFERROR(__xludf.DUMMYFUNCTION("""COMPUTED_VALUE"""),"")</f>
        <v/>
      </c>
      <c r="P91" s="24" t="str">
        <f ca="1">IFERROR(__xludf.DUMMYFUNCTION("""COMPUTED_VALUE"""),"")</f>
        <v/>
      </c>
      <c r="Q91" s="26" t="str">
        <f ca="1">IFERROR(__xludf.DUMMYFUNCTION("""COMPUTED_VALUE"""),"")</f>
        <v/>
      </c>
      <c r="R91" s="26" t="str">
        <f ca="1">IFERROR(__xludf.DUMMYFUNCTION("""COMPUTED_VALUE"""),"")</f>
        <v/>
      </c>
      <c r="S91" s="26" t="str">
        <f ca="1">IFERROR(__xludf.DUMMYFUNCTION("""COMPUTED_VALUE"""),"")</f>
        <v/>
      </c>
      <c r="T91" s="24" t="str">
        <f ca="1">IFERROR(__xludf.DUMMYFUNCTION("""COMPUTED_VALUE"""),"")</f>
        <v/>
      </c>
      <c r="U91" s="24" t="str">
        <f ca="1">IFERROR(__xludf.DUMMYFUNCTION("""COMPUTED_VALUE"""),"")</f>
        <v/>
      </c>
      <c r="V91" s="24" t="str">
        <f ca="1">IFERROR(__xludf.DUMMYFUNCTION("""COMPUTED_VALUE"""),"")</f>
        <v/>
      </c>
      <c r="W91" s="25" t="str">
        <f ca="1">IFERROR(__xludf.DUMMYFUNCTION("""COMPUTED_VALUE"""),"")</f>
        <v/>
      </c>
      <c r="X91" s="24" t="str">
        <f ca="1">IFERROR(__xludf.DUMMYFUNCTION("""COMPUTED_VALUE"""),"")</f>
        <v/>
      </c>
      <c r="Y91" s="24" t="str">
        <f ca="1">IFERROR(__xludf.DUMMYFUNCTION("""COMPUTED_VALUE"""),"")</f>
        <v/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>
      <c r="A92" s="22">
        <v>87</v>
      </c>
      <c r="B92" s="27" t="str">
        <f ca="1">IFERROR(__xludf.DUMMYFUNCTION("""COMPUTED_VALUE"""),"")</f>
        <v/>
      </c>
      <c r="C92" s="24" t="str">
        <f ca="1">IFERROR(__xludf.DUMMYFUNCTION("""COMPUTED_VALUE"""),"")</f>
        <v/>
      </c>
      <c r="D92" s="24" t="str">
        <f ca="1">IFERROR(__xludf.DUMMYFUNCTION("""COMPUTED_VALUE"""),"")</f>
        <v/>
      </c>
      <c r="E92" s="24" t="str">
        <f ca="1">IFERROR(__xludf.DUMMYFUNCTION("""COMPUTED_VALUE"""),"")</f>
        <v/>
      </c>
      <c r="F92" s="24" t="str">
        <f ca="1">IFERROR(__xludf.DUMMYFUNCTION("""COMPUTED_VALUE"""),"")</f>
        <v/>
      </c>
      <c r="G92" s="24" t="str">
        <f ca="1">IFERROR(__xludf.DUMMYFUNCTION("""COMPUTED_VALUE"""),"")</f>
        <v/>
      </c>
      <c r="H92" s="25" t="str">
        <f ca="1">IFERROR(__xludf.DUMMYFUNCTION("""COMPUTED_VALUE"""),"")</f>
        <v/>
      </c>
      <c r="I92" s="24" t="str">
        <f ca="1">IFERROR(__xludf.DUMMYFUNCTION("""COMPUTED_VALUE"""),"")</f>
        <v/>
      </c>
      <c r="J92" s="25" t="str">
        <f ca="1">IFERROR(__xludf.DUMMYFUNCTION("""COMPUTED_VALUE"""),"")</f>
        <v/>
      </c>
      <c r="K92" s="25" t="str">
        <f ca="1">IFERROR(__xludf.DUMMYFUNCTION("""COMPUTED_VALUE"""),"")</f>
        <v/>
      </c>
      <c r="L92" s="25" t="str">
        <f ca="1">IFERROR(__xludf.DUMMYFUNCTION("""COMPUTED_VALUE"""),"")</f>
        <v/>
      </c>
      <c r="M92" s="25" t="str">
        <f ca="1">IFERROR(__xludf.DUMMYFUNCTION("""COMPUTED_VALUE"""),"")</f>
        <v/>
      </c>
      <c r="N92" s="25" t="str">
        <f ca="1">IFERROR(__xludf.DUMMYFUNCTION("""COMPUTED_VALUE"""),"")</f>
        <v/>
      </c>
      <c r="O92" s="25" t="str">
        <f ca="1">IFERROR(__xludf.DUMMYFUNCTION("""COMPUTED_VALUE"""),"")</f>
        <v/>
      </c>
      <c r="P92" s="24" t="str">
        <f ca="1">IFERROR(__xludf.DUMMYFUNCTION("""COMPUTED_VALUE"""),"")</f>
        <v/>
      </c>
      <c r="Q92" s="26" t="str">
        <f ca="1">IFERROR(__xludf.DUMMYFUNCTION("""COMPUTED_VALUE"""),"")</f>
        <v/>
      </c>
      <c r="R92" s="26" t="str">
        <f ca="1">IFERROR(__xludf.DUMMYFUNCTION("""COMPUTED_VALUE"""),"")</f>
        <v/>
      </c>
      <c r="S92" s="26" t="str">
        <f ca="1">IFERROR(__xludf.DUMMYFUNCTION("""COMPUTED_VALUE"""),"")</f>
        <v/>
      </c>
      <c r="T92" s="24" t="str">
        <f ca="1">IFERROR(__xludf.DUMMYFUNCTION("""COMPUTED_VALUE"""),"")</f>
        <v/>
      </c>
      <c r="U92" s="24" t="str">
        <f ca="1">IFERROR(__xludf.DUMMYFUNCTION("""COMPUTED_VALUE"""),"")</f>
        <v/>
      </c>
      <c r="V92" s="24" t="str">
        <f ca="1">IFERROR(__xludf.DUMMYFUNCTION("""COMPUTED_VALUE"""),"")</f>
        <v/>
      </c>
      <c r="W92" s="25" t="str">
        <f ca="1">IFERROR(__xludf.DUMMYFUNCTION("""COMPUTED_VALUE"""),"")</f>
        <v/>
      </c>
      <c r="X92" s="24" t="str">
        <f ca="1">IFERROR(__xludf.DUMMYFUNCTION("""COMPUTED_VALUE"""),"")</f>
        <v/>
      </c>
      <c r="Y92" s="24" t="str">
        <f ca="1">IFERROR(__xludf.DUMMYFUNCTION("""COMPUTED_VALUE"""),"")</f>
        <v/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>
      <c r="A93" s="22">
        <v>88</v>
      </c>
      <c r="B93" s="27" t="str">
        <f ca="1">IFERROR(__xludf.DUMMYFUNCTION("""COMPUTED_VALUE"""),"")</f>
        <v/>
      </c>
      <c r="C93" s="24" t="str">
        <f ca="1">IFERROR(__xludf.DUMMYFUNCTION("""COMPUTED_VALUE"""),"")</f>
        <v/>
      </c>
      <c r="D93" s="24" t="str">
        <f ca="1">IFERROR(__xludf.DUMMYFUNCTION("""COMPUTED_VALUE"""),"")</f>
        <v/>
      </c>
      <c r="E93" s="24" t="str">
        <f ca="1">IFERROR(__xludf.DUMMYFUNCTION("""COMPUTED_VALUE"""),"")</f>
        <v/>
      </c>
      <c r="F93" s="24" t="str">
        <f ca="1">IFERROR(__xludf.DUMMYFUNCTION("""COMPUTED_VALUE"""),"")</f>
        <v/>
      </c>
      <c r="G93" s="24" t="str">
        <f ca="1">IFERROR(__xludf.DUMMYFUNCTION("""COMPUTED_VALUE"""),"")</f>
        <v/>
      </c>
      <c r="H93" s="25" t="str">
        <f ca="1">IFERROR(__xludf.DUMMYFUNCTION("""COMPUTED_VALUE"""),"")</f>
        <v/>
      </c>
      <c r="I93" s="24" t="str">
        <f ca="1">IFERROR(__xludf.DUMMYFUNCTION("""COMPUTED_VALUE"""),"")</f>
        <v/>
      </c>
      <c r="J93" s="25" t="str">
        <f ca="1">IFERROR(__xludf.DUMMYFUNCTION("""COMPUTED_VALUE"""),"")</f>
        <v/>
      </c>
      <c r="K93" s="25" t="str">
        <f ca="1">IFERROR(__xludf.DUMMYFUNCTION("""COMPUTED_VALUE"""),"")</f>
        <v/>
      </c>
      <c r="L93" s="25" t="str">
        <f ca="1">IFERROR(__xludf.DUMMYFUNCTION("""COMPUTED_VALUE"""),"")</f>
        <v/>
      </c>
      <c r="M93" s="25" t="str">
        <f ca="1">IFERROR(__xludf.DUMMYFUNCTION("""COMPUTED_VALUE"""),"")</f>
        <v/>
      </c>
      <c r="N93" s="25" t="str">
        <f ca="1">IFERROR(__xludf.DUMMYFUNCTION("""COMPUTED_VALUE"""),"")</f>
        <v/>
      </c>
      <c r="O93" s="25" t="str">
        <f ca="1">IFERROR(__xludf.DUMMYFUNCTION("""COMPUTED_VALUE"""),"")</f>
        <v/>
      </c>
      <c r="P93" s="24" t="str">
        <f ca="1">IFERROR(__xludf.DUMMYFUNCTION("""COMPUTED_VALUE"""),"")</f>
        <v/>
      </c>
      <c r="Q93" s="26" t="str">
        <f ca="1">IFERROR(__xludf.DUMMYFUNCTION("""COMPUTED_VALUE"""),"")</f>
        <v/>
      </c>
      <c r="R93" s="26" t="str">
        <f ca="1">IFERROR(__xludf.DUMMYFUNCTION("""COMPUTED_VALUE"""),"")</f>
        <v/>
      </c>
      <c r="S93" s="26" t="str">
        <f ca="1">IFERROR(__xludf.DUMMYFUNCTION("""COMPUTED_VALUE"""),"")</f>
        <v/>
      </c>
      <c r="T93" s="24" t="str">
        <f ca="1">IFERROR(__xludf.DUMMYFUNCTION("""COMPUTED_VALUE"""),"")</f>
        <v/>
      </c>
      <c r="U93" s="24" t="str">
        <f ca="1">IFERROR(__xludf.DUMMYFUNCTION("""COMPUTED_VALUE"""),"")</f>
        <v/>
      </c>
      <c r="V93" s="24" t="str">
        <f ca="1">IFERROR(__xludf.DUMMYFUNCTION("""COMPUTED_VALUE"""),"")</f>
        <v/>
      </c>
      <c r="W93" s="25" t="str">
        <f ca="1">IFERROR(__xludf.DUMMYFUNCTION("""COMPUTED_VALUE"""),"")</f>
        <v/>
      </c>
      <c r="X93" s="24" t="str">
        <f ca="1">IFERROR(__xludf.DUMMYFUNCTION("""COMPUTED_VALUE"""),"")</f>
        <v/>
      </c>
      <c r="Y93" s="24" t="str">
        <f ca="1">IFERROR(__xludf.DUMMYFUNCTION("""COMPUTED_VALUE"""),"")</f>
        <v/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>
      <c r="A94" s="22">
        <v>89</v>
      </c>
      <c r="B94" s="27" t="str">
        <f ca="1">IFERROR(__xludf.DUMMYFUNCTION("""COMPUTED_VALUE"""),"")</f>
        <v/>
      </c>
      <c r="C94" s="24" t="str">
        <f ca="1">IFERROR(__xludf.DUMMYFUNCTION("""COMPUTED_VALUE"""),"")</f>
        <v/>
      </c>
      <c r="D94" s="24" t="str">
        <f ca="1">IFERROR(__xludf.DUMMYFUNCTION("""COMPUTED_VALUE"""),"")</f>
        <v/>
      </c>
      <c r="E94" s="24" t="str">
        <f ca="1">IFERROR(__xludf.DUMMYFUNCTION("""COMPUTED_VALUE"""),"")</f>
        <v/>
      </c>
      <c r="F94" s="24" t="str">
        <f ca="1">IFERROR(__xludf.DUMMYFUNCTION("""COMPUTED_VALUE"""),"")</f>
        <v/>
      </c>
      <c r="G94" s="24" t="str">
        <f ca="1">IFERROR(__xludf.DUMMYFUNCTION("""COMPUTED_VALUE"""),"")</f>
        <v/>
      </c>
      <c r="H94" s="25" t="str">
        <f ca="1">IFERROR(__xludf.DUMMYFUNCTION("""COMPUTED_VALUE"""),"")</f>
        <v/>
      </c>
      <c r="I94" s="24" t="str">
        <f ca="1">IFERROR(__xludf.DUMMYFUNCTION("""COMPUTED_VALUE"""),"")</f>
        <v/>
      </c>
      <c r="J94" s="25" t="str">
        <f ca="1">IFERROR(__xludf.DUMMYFUNCTION("""COMPUTED_VALUE"""),"")</f>
        <v/>
      </c>
      <c r="K94" s="25" t="str">
        <f ca="1">IFERROR(__xludf.DUMMYFUNCTION("""COMPUTED_VALUE"""),"")</f>
        <v/>
      </c>
      <c r="L94" s="25" t="str">
        <f ca="1">IFERROR(__xludf.DUMMYFUNCTION("""COMPUTED_VALUE"""),"")</f>
        <v/>
      </c>
      <c r="M94" s="25" t="str">
        <f ca="1">IFERROR(__xludf.DUMMYFUNCTION("""COMPUTED_VALUE"""),"")</f>
        <v/>
      </c>
      <c r="N94" s="25" t="str">
        <f ca="1">IFERROR(__xludf.DUMMYFUNCTION("""COMPUTED_VALUE"""),"")</f>
        <v/>
      </c>
      <c r="O94" s="25" t="str">
        <f ca="1">IFERROR(__xludf.DUMMYFUNCTION("""COMPUTED_VALUE"""),"")</f>
        <v/>
      </c>
      <c r="P94" s="24" t="str">
        <f ca="1">IFERROR(__xludf.DUMMYFUNCTION("""COMPUTED_VALUE"""),"")</f>
        <v/>
      </c>
      <c r="Q94" s="26" t="str">
        <f ca="1">IFERROR(__xludf.DUMMYFUNCTION("""COMPUTED_VALUE"""),"")</f>
        <v/>
      </c>
      <c r="R94" s="26" t="str">
        <f ca="1">IFERROR(__xludf.DUMMYFUNCTION("""COMPUTED_VALUE"""),"")</f>
        <v/>
      </c>
      <c r="S94" s="26" t="str">
        <f ca="1">IFERROR(__xludf.DUMMYFUNCTION("""COMPUTED_VALUE"""),"")</f>
        <v/>
      </c>
      <c r="T94" s="24" t="str">
        <f ca="1">IFERROR(__xludf.DUMMYFUNCTION("""COMPUTED_VALUE"""),"")</f>
        <v/>
      </c>
      <c r="U94" s="24" t="str">
        <f ca="1">IFERROR(__xludf.DUMMYFUNCTION("""COMPUTED_VALUE"""),"")</f>
        <v/>
      </c>
      <c r="V94" s="24" t="str">
        <f ca="1">IFERROR(__xludf.DUMMYFUNCTION("""COMPUTED_VALUE"""),"")</f>
        <v/>
      </c>
      <c r="W94" s="25" t="str">
        <f ca="1">IFERROR(__xludf.DUMMYFUNCTION("""COMPUTED_VALUE"""),"")</f>
        <v/>
      </c>
      <c r="X94" s="24" t="str">
        <f ca="1">IFERROR(__xludf.DUMMYFUNCTION("""COMPUTED_VALUE"""),"")</f>
        <v/>
      </c>
      <c r="Y94" s="24" t="str">
        <f ca="1">IFERROR(__xludf.DUMMYFUNCTION("""COMPUTED_VALUE"""),"")</f>
        <v/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>
      <c r="A95" s="22">
        <v>90</v>
      </c>
      <c r="B95" s="27" t="str">
        <f ca="1">IFERROR(__xludf.DUMMYFUNCTION("""COMPUTED_VALUE"""),"")</f>
        <v/>
      </c>
      <c r="C95" s="24" t="str">
        <f ca="1">IFERROR(__xludf.DUMMYFUNCTION("""COMPUTED_VALUE"""),"")</f>
        <v/>
      </c>
      <c r="D95" s="24" t="str">
        <f ca="1">IFERROR(__xludf.DUMMYFUNCTION("""COMPUTED_VALUE"""),"")</f>
        <v/>
      </c>
      <c r="E95" s="24" t="str">
        <f ca="1">IFERROR(__xludf.DUMMYFUNCTION("""COMPUTED_VALUE"""),"")</f>
        <v/>
      </c>
      <c r="F95" s="24" t="str">
        <f ca="1">IFERROR(__xludf.DUMMYFUNCTION("""COMPUTED_VALUE"""),"")</f>
        <v/>
      </c>
      <c r="G95" s="24" t="str">
        <f ca="1">IFERROR(__xludf.DUMMYFUNCTION("""COMPUTED_VALUE"""),"")</f>
        <v/>
      </c>
      <c r="H95" s="25" t="str">
        <f ca="1">IFERROR(__xludf.DUMMYFUNCTION("""COMPUTED_VALUE"""),"")</f>
        <v/>
      </c>
      <c r="I95" s="24" t="str">
        <f ca="1">IFERROR(__xludf.DUMMYFUNCTION("""COMPUTED_VALUE"""),"")</f>
        <v/>
      </c>
      <c r="J95" s="25" t="str">
        <f ca="1">IFERROR(__xludf.DUMMYFUNCTION("""COMPUTED_VALUE"""),"")</f>
        <v/>
      </c>
      <c r="K95" s="25" t="str">
        <f ca="1">IFERROR(__xludf.DUMMYFUNCTION("""COMPUTED_VALUE"""),"")</f>
        <v/>
      </c>
      <c r="L95" s="25" t="str">
        <f ca="1">IFERROR(__xludf.DUMMYFUNCTION("""COMPUTED_VALUE"""),"")</f>
        <v/>
      </c>
      <c r="M95" s="25" t="str">
        <f ca="1">IFERROR(__xludf.DUMMYFUNCTION("""COMPUTED_VALUE"""),"")</f>
        <v/>
      </c>
      <c r="N95" s="25" t="str">
        <f ca="1">IFERROR(__xludf.DUMMYFUNCTION("""COMPUTED_VALUE"""),"")</f>
        <v/>
      </c>
      <c r="O95" s="25" t="str">
        <f ca="1">IFERROR(__xludf.DUMMYFUNCTION("""COMPUTED_VALUE"""),"")</f>
        <v/>
      </c>
      <c r="P95" s="24" t="str">
        <f ca="1">IFERROR(__xludf.DUMMYFUNCTION("""COMPUTED_VALUE"""),"")</f>
        <v/>
      </c>
      <c r="Q95" s="26" t="str">
        <f ca="1">IFERROR(__xludf.DUMMYFUNCTION("""COMPUTED_VALUE"""),"")</f>
        <v/>
      </c>
      <c r="R95" s="26" t="str">
        <f ca="1">IFERROR(__xludf.DUMMYFUNCTION("""COMPUTED_VALUE"""),"")</f>
        <v/>
      </c>
      <c r="S95" s="26" t="str">
        <f ca="1">IFERROR(__xludf.DUMMYFUNCTION("""COMPUTED_VALUE"""),"")</f>
        <v/>
      </c>
      <c r="T95" s="24" t="str">
        <f ca="1">IFERROR(__xludf.DUMMYFUNCTION("""COMPUTED_VALUE"""),"")</f>
        <v/>
      </c>
      <c r="U95" s="24" t="str">
        <f ca="1">IFERROR(__xludf.DUMMYFUNCTION("""COMPUTED_VALUE"""),"")</f>
        <v/>
      </c>
      <c r="V95" s="24" t="str">
        <f ca="1">IFERROR(__xludf.DUMMYFUNCTION("""COMPUTED_VALUE"""),"")</f>
        <v/>
      </c>
      <c r="W95" s="25" t="str">
        <f ca="1">IFERROR(__xludf.DUMMYFUNCTION("""COMPUTED_VALUE"""),"")</f>
        <v/>
      </c>
      <c r="X95" s="24" t="str">
        <f ca="1">IFERROR(__xludf.DUMMYFUNCTION("""COMPUTED_VALUE"""),"")</f>
        <v/>
      </c>
      <c r="Y95" s="24" t="str">
        <f ca="1">IFERROR(__xludf.DUMMYFUNCTION("""COMPUTED_VALUE"""),"")</f>
        <v/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>
      <c r="A96" s="22">
        <v>91</v>
      </c>
      <c r="B96" s="27" t="str">
        <f ca="1">IFERROR(__xludf.DUMMYFUNCTION("""COMPUTED_VALUE"""),"")</f>
        <v/>
      </c>
      <c r="C96" s="24" t="str">
        <f ca="1">IFERROR(__xludf.DUMMYFUNCTION("""COMPUTED_VALUE"""),"")</f>
        <v/>
      </c>
      <c r="D96" s="24" t="str">
        <f ca="1">IFERROR(__xludf.DUMMYFUNCTION("""COMPUTED_VALUE"""),"")</f>
        <v/>
      </c>
      <c r="E96" s="24" t="str">
        <f ca="1">IFERROR(__xludf.DUMMYFUNCTION("""COMPUTED_VALUE"""),"")</f>
        <v/>
      </c>
      <c r="F96" s="24" t="str">
        <f ca="1">IFERROR(__xludf.DUMMYFUNCTION("""COMPUTED_VALUE"""),"")</f>
        <v/>
      </c>
      <c r="G96" s="24" t="str">
        <f ca="1">IFERROR(__xludf.DUMMYFUNCTION("""COMPUTED_VALUE"""),"")</f>
        <v/>
      </c>
      <c r="H96" s="25" t="str">
        <f ca="1">IFERROR(__xludf.DUMMYFUNCTION("""COMPUTED_VALUE"""),"")</f>
        <v/>
      </c>
      <c r="I96" s="24" t="str">
        <f ca="1">IFERROR(__xludf.DUMMYFUNCTION("""COMPUTED_VALUE"""),"")</f>
        <v/>
      </c>
      <c r="J96" s="25" t="str">
        <f ca="1">IFERROR(__xludf.DUMMYFUNCTION("""COMPUTED_VALUE"""),"")</f>
        <v/>
      </c>
      <c r="K96" s="25" t="str">
        <f ca="1">IFERROR(__xludf.DUMMYFUNCTION("""COMPUTED_VALUE"""),"")</f>
        <v/>
      </c>
      <c r="L96" s="25" t="str">
        <f ca="1">IFERROR(__xludf.DUMMYFUNCTION("""COMPUTED_VALUE"""),"")</f>
        <v/>
      </c>
      <c r="M96" s="25" t="str">
        <f ca="1">IFERROR(__xludf.DUMMYFUNCTION("""COMPUTED_VALUE"""),"")</f>
        <v/>
      </c>
      <c r="N96" s="25" t="str">
        <f ca="1">IFERROR(__xludf.DUMMYFUNCTION("""COMPUTED_VALUE"""),"")</f>
        <v/>
      </c>
      <c r="O96" s="25" t="str">
        <f ca="1">IFERROR(__xludf.DUMMYFUNCTION("""COMPUTED_VALUE"""),"")</f>
        <v/>
      </c>
      <c r="P96" s="24" t="str">
        <f ca="1">IFERROR(__xludf.DUMMYFUNCTION("""COMPUTED_VALUE"""),"")</f>
        <v/>
      </c>
      <c r="Q96" s="26" t="str">
        <f ca="1">IFERROR(__xludf.DUMMYFUNCTION("""COMPUTED_VALUE"""),"")</f>
        <v/>
      </c>
      <c r="R96" s="26" t="str">
        <f ca="1">IFERROR(__xludf.DUMMYFUNCTION("""COMPUTED_VALUE"""),"")</f>
        <v/>
      </c>
      <c r="S96" s="26" t="str">
        <f ca="1">IFERROR(__xludf.DUMMYFUNCTION("""COMPUTED_VALUE"""),"")</f>
        <v/>
      </c>
      <c r="T96" s="24" t="str">
        <f ca="1">IFERROR(__xludf.DUMMYFUNCTION("""COMPUTED_VALUE"""),"")</f>
        <v/>
      </c>
      <c r="U96" s="24" t="str">
        <f ca="1">IFERROR(__xludf.DUMMYFUNCTION("""COMPUTED_VALUE"""),"")</f>
        <v/>
      </c>
      <c r="V96" s="24" t="str">
        <f ca="1">IFERROR(__xludf.DUMMYFUNCTION("""COMPUTED_VALUE"""),"")</f>
        <v/>
      </c>
      <c r="W96" s="25" t="str">
        <f ca="1">IFERROR(__xludf.DUMMYFUNCTION("""COMPUTED_VALUE"""),"")</f>
        <v/>
      </c>
      <c r="X96" s="24" t="str">
        <f ca="1">IFERROR(__xludf.DUMMYFUNCTION("""COMPUTED_VALUE"""),"")</f>
        <v/>
      </c>
      <c r="Y96" s="24" t="str">
        <f ca="1">IFERROR(__xludf.DUMMYFUNCTION("""COMPUTED_VALUE"""),"")</f>
        <v/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>
      <c r="A97" s="22">
        <v>92</v>
      </c>
      <c r="B97" s="27" t="str">
        <f ca="1">IFERROR(__xludf.DUMMYFUNCTION("""COMPUTED_VALUE"""),"")</f>
        <v/>
      </c>
      <c r="C97" s="24" t="str">
        <f ca="1">IFERROR(__xludf.DUMMYFUNCTION("""COMPUTED_VALUE"""),"")</f>
        <v/>
      </c>
      <c r="D97" s="24" t="str">
        <f ca="1">IFERROR(__xludf.DUMMYFUNCTION("""COMPUTED_VALUE"""),"")</f>
        <v/>
      </c>
      <c r="E97" s="24" t="str">
        <f ca="1">IFERROR(__xludf.DUMMYFUNCTION("""COMPUTED_VALUE"""),"")</f>
        <v/>
      </c>
      <c r="F97" s="24" t="str">
        <f ca="1">IFERROR(__xludf.DUMMYFUNCTION("""COMPUTED_VALUE"""),"")</f>
        <v/>
      </c>
      <c r="G97" s="24" t="str">
        <f ca="1">IFERROR(__xludf.DUMMYFUNCTION("""COMPUTED_VALUE"""),"")</f>
        <v/>
      </c>
      <c r="H97" s="25" t="str">
        <f ca="1">IFERROR(__xludf.DUMMYFUNCTION("""COMPUTED_VALUE"""),"")</f>
        <v/>
      </c>
      <c r="I97" s="24" t="str">
        <f ca="1">IFERROR(__xludf.DUMMYFUNCTION("""COMPUTED_VALUE"""),"")</f>
        <v/>
      </c>
      <c r="J97" s="25" t="str">
        <f ca="1">IFERROR(__xludf.DUMMYFUNCTION("""COMPUTED_VALUE"""),"")</f>
        <v/>
      </c>
      <c r="K97" s="25" t="str">
        <f ca="1">IFERROR(__xludf.DUMMYFUNCTION("""COMPUTED_VALUE"""),"")</f>
        <v/>
      </c>
      <c r="L97" s="25" t="str">
        <f ca="1">IFERROR(__xludf.DUMMYFUNCTION("""COMPUTED_VALUE"""),"")</f>
        <v/>
      </c>
      <c r="M97" s="25" t="str">
        <f ca="1">IFERROR(__xludf.DUMMYFUNCTION("""COMPUTED_VALUE"""),"")</f>
        <v/>
      </c>
      <c r="N97" s="25" t="str">
        <f ca="1">IFERROR(__xludf.DUMMYFUNCTION("""COMPUTED_VALUE"""),"")</f>
        <v/>
      </c>
      <c r="O97" s="25" t="str">
        <f ca="1">IFERROR(__xludf.DUMMYFUNCTION("""COMPUTED_VALUE"""),"")</f>
        <v/>
      </c>
      <c r="P97" s="24" t="str">
        <f ca="1">IFERROR(__xludf.DUMMYFUNCTION("""COMPUTED_VALUE"""),"")</f>
        <v/>
      </c>
      <c r="Q97" s="26" t="str">
        <f ca="1">IFERROR(__xludf.DUMMYFUNCTION("""COMPUTED_VALUE"""),"")</f>
        <v/>
      </c>
      <c r="R97" s="26" t="str">
        <f ca="1">IFERROR(__xludf.DUMMYFUNCTION("""COMPUTED_VALUE"""),"")</f>
        <v/>
      </c>
      <c r="S97" s="26" t="str">
        <f ca="1">IFERROR(__xludf.DUMMYFUNCTION("""COMPUTED_VALUE"""),"")</f>
        <v/>
      </c>
      <c r="T97" s="24" t="str">
        <f ca="1">IFERROR(__xludf.DUMMYFUNCTION("""COMPUTED_VALUE"""),"")</f>
        <v/>
      </c>
      <c r="U97" s="24" t="str">
        <f ca="1">IFERROR(__xludf.DUMMYFUNCTION("""COMPUTED_VALUE"""),"")</f>
        <v/>
      </c>
      <c r="V97" s="24" t="str">
        <f ca="1">IFERROR(__xludf.DUMMYFUNCTION("""COMPUTED_VALUE"""),"")</f>
        <v/>
      </c>
      <c r="W97" s="25" t="str">
        <f ca="1">IFERROR(__xludf.DUMMYFUNCTION("""COMPUTED_VALUE"""),"")</f>
        <v/>
      </c>
      <c r="X97" s="24" t="str">
        <f ca="1">IFERROR(__xludf.DUMMYFUNCTION("""COMPUTED_VALUE"""),"")</f>
        <v/>
      </c>
      <c r="Y97" s="24" t="str">
        <f ca="1">IFERROR(__xludf.DUMMYFUNCTION("""COMPUTED_VALUE"""),"")</f>
        <v/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>
      <c r="A98" s="22">
        <v>93</v>
      </c>
      <c r="B98" s="27" t="str">
        <f ca="1">IFERROR(__xludf.DUMMYFUNCTION("""COMPUTED_VALUE"""),"")</f>
        <v/>
      </c>
      <c r="C98" s="24" t="str">
        <f ca="1">IFERROR(__xludf.DUMMYFUNCTION("""COMPUTED_VALUE"""),"")</f>
        <v/>
      </c>
      <c r="D98" s="24" t="str">
        <f ca="1">IFERROR(__xludf.DUMMYFUNCTION("""COMPUTED_VALUE"""),"")</f>
        <v/>
      </c>
      <c r="E98" s="24" t="str">
        <f ca="1">IFERROR(__xludf.DUMMYFUNCTION("""COMPUTED_VALUE"""),"")</f>
        <v/>
      </c>
      <c r="F98" s="24" t="str">
        <f ca="1">IFERROR(__xludf.DUMMYFUNCTION("""COMPUTED_VALUE"""),"")</f>
        <v/>
      </c>
      <c r="G98" s="24" t="str">
        <f ca="1">IFERROR(__xludf.DUMMYFUNCTION("""COMPUTED_VALUE"""),"")</f>
        <v/>
      </c>
      <c r="H98" s="25" t="str">
        <f ca="1">IFERROR(__xludf.DUMMYFUNCTION("""COMPUTED_VALUE"""),"")</f>
        <v/>
      </c>
      <c r="I98" s="24" t="str">
        <f ca="1">IFERROR(__xludf.DUMMYFUNCTION("""COMPUTED_VALUE"""),"")</f>
        <v/>
      </c>
      <c r="J98" s="25" t="str">
        <f ca="1">IFERROR(__xludf.DUMMYFUNCTION("""COMPUTED_VALUE"""),"")</f>
        <v/>
      </c>
      <c r="K98" s="25" t="str">
        <f ca="1">IFERROR(__xludf.DUMMYFUNCTION("""COMPUTED_VALUE"""),"")</f>
        <v/>
      </c>
      <c r="L98" s="25" t="str">
        <f ca="1">IFERROR(__xludf.DUMMYFUNCTION("""COMPUTED_VALUE"""),"")</f>
        <v/>
      </c>
      <c r="M98" s="25" t="str">
        <f ca="1">IFERROR(__xludf.DUMMYFUNCTION("""COMPUTED_VALUE"""),"")</f>
        <v/>
      </c>
      <c r="N98" s="25" t="str">
        <f ca="1">IFERROR(__xludf.DUMMYFUNCTION("""COMPUTED_VALUE"""),"")</f>
        <v/>
      </c>
      <c r="O98" s="25" t="str">
        <f ca="1">IFERROR(__xludf.DUMMYFUNCTION("""COMPUTED_VALUE"""),"")</f>
        <v/>
      </c>
      <c r="P98" s="24" t="str">
        <f ca="1">IFERROR(__xludf.DUMMYFUNCTION("""COMPUTED_VALUE"""),"")</f>
        <v/>
      </c>
      <c r="Q98" s="26" t="str">
        <f ca="1">IFERROR(__xludf.DUMMYFUNCTION("""COMPUTED_VALUE"""),"")</f>
        <v/>
      </c>
      <c r="R98" s="26" t="str">
        <f ca="1">IFERROR(__xludf.DUMMYFUNCTION("""COMPUTED_VALUE"""),"")</f>
        <v/>
      </c>
      <c r="S98" s="26" t="str">
        <f ca="1">IFERROR(__xludf.DUMMYFUNCTION("""COMPUTED_VALUE"""),"")</f>
        <v/>
      </c>
      <c r="T98" s="24" t="str">
        <f ca="1">IFERROR(__xludf.DUMMYFUNCTION("""COMPUTED_VALUE"""),"")</f>
        <v/>
      </c>
      <c r="U98" s="24" t="str">
        <f ca="1">IFERROR(__xludf.DUMMYFUNCTION("""COMPUTED_VALUE"""),"")</f>
        <v/>
      </c>
      <c r="V98" s="24" t="str">
        <f ca="1">IFERROR(__xludf.DUMMYFUNCTION("""COMPUTED_VALUE"""),"")</f>
        <v/>
      </c>
      <c r="W98" s="25" t="str">
        <f ca="1">IFERROR(__xludf.DUMMYFUNCTION("""COMPUTED_VALUE"""),"")</f>
        <v/>
      </c>
      <c r="X98" s="24" t="str">
        <f ca="1">IFERROR(__xludf.DUMMYFUNCTION("""COMPUTED_VALUE"""),"")</f>
        <v/>
      </c>
      <c r="Y98" s="24" t="str">
        <f ca="1">IFERROR(__xludf.DUMMYFUNCTION("""COMPUTED_VALUE"""),"")</f>
        <v/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>
      <c r="A99" s="22">
        <v>94</v>
      </c>
      <c r="B99" s="27" t="str">
        <f ca="1">IFERROR(__xludf.DUMMYFUNCTION("""COMPUTED_VALUE"""),"")</f>
        <v/>
      </c>
      <c r="C99" s="24" t="str">
        <f ca="1">IFERROR(__xludf.DUMMYFUNCTION("""COMPUTED_VALUE"""),"")</f>
        <v/>
      </c>
      <c r="D99" s="24" t="str">
        <f ca="1">IFERROR(__xludf.DUMMYFUNCTION("""COMPUTED_VALUE"""),"")</f>
        <v/>
      </c>
      <c r="E99" s="24" t="str">
        <f ca="1">IFERROR(__xludf.DUMMYFUNCTION("""COMPUTED_VALUE"""),"")</f>
        <v/>
      </c>
      <c r="F99" s="24" t="str">
        <f ca="1">IFERROR(__xludf.DUMMYFUNCTION("""COMPUTED_VALUE"""),"")</f>
        <v/>
      </c>
      <c r="G99" s="24" t="str">
        <f ca="1">IFERROR(__xludf.DUMMYFUNCTION("""COMPUTED_VALUE"""),"")</f>
        <v/>
      </c>
      <c r="H99" s="25" t="str">
        <f ca="1">IFERROR(__xludf.DUMMYFUNCTION("""COMPUTED_VALUE"""),"")</f>
        <v/>
      </c>
      <c r="I99" s="24" t="str">
        <f ca="1">IFERROR(__xludf.DUMMYFUNCTION("""COMPUTED_VALUE"""),"")</f>
        <v/>
      </c>
      <c r="J99" s="25" t="str">
        <f ca="1">IFERROR(__xludf.DUMMYFUNCTION("""COMPUTED_VALUE"""),"")</f>
        <v/>
      </c>
      <c r="K99" s="25" t="str">
        <f ca="1">IFERROR(__xludf.DUMMYFUNCTION("""COMPUTED_VALUE"""),"")</f>
        <v/>
      </c>
      <c r="L99" s="25" t="str">
        <f ca="1">IFERROR(__xludf.DUMMYFUNCTION("""COMPUTED_VALUE"""),"")</f>
        <v/>
      </c>
      <c r="M99" s="25" t="str">
        <f ca="1">IFERROR(__xludf.DUMMYFUNCTION("""COMPUTED_VALUE"""),"")</f>
        <v/>
      </c>
      <c r="N99" s="25" t="str">
        <f ca="1">IFERROR(__xludf.DUMMYFUNCTION("""COMPUTED_VALUE"""),"")</f>
        <v/>
      </c>
      <c r="O99" s="25" t="str">
        <f ca="1">IFERROR(__xludf.DUMMYFUNCTION("""COMPUTED_VALUE"""),"")</f>
        <v/>
      </c>
      <c r="P99" s="24" t="str">
        <f ca="1">IFERROR(__xludf.DUMMYFUNCTION("""COMPUTED_VALUE"""),"")</f>
        <v/>
      </c>
      <c r="Q99" s="26" t="str">
        <f ca="1">IFERROR(__xludf.DUMMYFUNCTION("""COMPUTED_VALUE"""),"")</f>
        <v/>
      </c>
      <c r="R99" s="26" t="str">
        <f ca="1">IFERROR(__xludf.DUMMYFUNCTION("""COMPUTED_VALUE"""),"")</f>
        <v/>
      </c>
      <c r="S99" s="26" t="str">
        <f ca="1">IFERROR(__xludf.DUMMYFUNCTION("""COMPUTED_VALUE"""),"")</f>
        <v/>
      </c>
      <c r="T99" s="24" t="str">
        <f ca="1">IFERROR(__xludf.DUMMYFUNCTION("""COMPUTED_VALUE"""),"")</f>
        <v/>
      </c>
      <c r="U99" s="24" t="str">
        <f ca="1">IFERROR(__xludf.DUMMYFUNCTION("""COMPUTED_VALUE"""),"")</f>
        <v/>
      </c>
      <c r="V99" s="24" t="str">
        <f ca="1">IFERROR(__xludf.DUMMYFUNCTION("""COMPUTED_VALUE"""),"")</f>
        <v/>
      </c>
      <c r="W99" s="25" t="str">
        <f ca="1">IFERROR(__xludf.DUMMYFUNCTION("""COMPUTED_VALUE"""),"")</f>
        <v/>
      </c>
      <c r="X99" s="24" t="str">
        <f ca="1">IFERROR(__xludf.DUMMYFUNCTION("""COMPUTED_VALUE"""),"")</f>
        <v/>
      </c>
      <c r="Y99" s="24" t="str">
        <f ca="1">IFERROR(__xludf.DUMMYFUNCTION("""COMPUTED_VALUE"""),"")</f>
        <v/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>
      <c r="A100" s="22">
        <v>95</v>
      </c>
      <c r="B100" s="27" t="str">
        <f ca="1">IFERROR(__xludf.DUMMYFUNCTION("""COMPUTED_VALUE"""),"")</f>
        <v/>
      </c>
      <c r="C100" s="24" t="str">
        <f ca="1">IFERROR(__xludf.DUMMYFUNCTION("""COMPUTED_VALUE"""),"")</f>
        <v/>
      </c>
      <c r="D100" s="24" t="str">
        <f ca="1">IFERROR(__xludf.DUMMYFUNCTION("""COMPUTED_VALUE"""),"")</f>
        <v/>
      </c>
      <c r="E100" s="24" t="str">
        <f ca="1">IFERROR(__xludf.DUMMYFUNCTION("""COMPUTED_VALUE"""),"")</f>
        <v/>
      </c>
      <c r="F100" s="24" t="str">
        <f ca="1">IFERROR(__xludf.DUMMYFUNCTION("""COMPUTED_VALUE"""),"")</f>
        <v/>
      </c>
      <c r="G100" s="24" t="str">
        <f ca="1">IFERROR(__xludf.DUMMYFUNCTION("""COMPUTED_VALUE"""),"")</f>
        <v/>
      </c>
      <c r="H100" s="25" t="str">
        <f ca="1">IFERROR(__xludf.DUMMYFUNCTION("""COMPUTED_VALUE"""),"")</f>
        <v/>
      </c>
      <c r="I100" s="24" t="str">
        <f ca="1">IFERROR(__xludf.DUMMYFUNCTION("""COMPUTED_VALUE"""),"")</f>
        <v/>
      </c>
      <c r="J100" s="25" t="str">
        <f ca="1">IFERROR(__xludf.DUMMYFUNCTION("""COMPUTED_VALUE"""),"")</f>
        <v/>
      </c>
      <c r="K100" s="25" t="str">
        <f ca="1">IFERROR(__xludf.DUMMYFUNCTION("""COMPUTED_VALUE"""),"")</f>
        <v/>
      </c>
      <c r="L100" s="25" t="str">
        <f ca="1">IFERROR(__xludf.DUMMYFUNCTION("""COMPUTED_VALUE"""),"")</f>
        <v/>
      </c>
      <c r="M100" s="25" t="str">
        <f ca="1">IFERROR(__xludf.DUMMYFUNCTION("""COMPUTED_VALUE"""),"")</f>
        <v/>
      </c>
      <c r="N100" s="25" t="str">
        <f ca="1">IFERROR(__xludf.DUMMYFUNCTION("""COMPUTED_VALUE"""),"")</f>
        <v/>
      </c>
      <c r="O100" s="25" t="str">
        <f ca="1">IFERROR(__xludf.DUMMYFUNCTION("""COMPUTED_VALUE"""),"")</f>
        <v/>
      </c>
      <c r="P100" s="24" t="str">
        <f ca="1">IFERROR(__xludf.DUMMYFUNCTION("""COMPUTED_VALUE"""),"")</f>
        <v/>
      </c>
      <c r="Q100" s="26" t="str">
        <f ca="1">IFERROR(__xludf.DUMMYFUNCTION("""COMPUTED_VALUE"""),"")</f>
        <v/>
      </c>
      <c r="R100" s="26" t="str">
        <f ca="1">IFERROR(__xludf.DUMMYFUNCTION("""COMPUTED_VALUE"""),"")</f>
        <v/>
      </c>
      <c r="S100" s="26" t="str">
        <f ca="1">IFERROR(__xludf.DUMMYFUNCTION("""COMPUTED_VALUE"""),"")</f>
        <v/>
      </c>
      <c r="T100" s="24" t="str">
        <f ca="1">IFERROR(__xludf.DUMMYFUNCTION("""COMPUTED_VALUE"""),"")</f>
        <v/>
      </c>
      <c r="U100" s="24" t="str">
        <f ca="1">IFERROR(__xludf.DUMMYFUNCTION("""COMPUTED_VALUE"""),"")</f>
        <v/>
      </c>
      <c r="V100" s="24" t="str">
        <f ca="1">IFERROR(__xludf.DUMMYFUNCTION("""COMPUTED_VALUE"""),"")</f>
        <v/>
      </c>
      <c r="W100" s="25" t="str">
        <f ca="1">IFERROR(__xludf.DUMMYFUNCTION("""COMPUTED_VALUE"""),"")</f>
        <v/>
      </c>
      <c r="X100" s="24" t="str">
        <f ca="1">IFERROR(__xludf.DUMMYFUNCTION("""COMPUTED_VALUE"""),"")</f>
        <v/>
      </c>
      <c r="Y100" s="24" t="str">
        <f ca="1">IFERROR(__xludf.DUMMYFUNCTION("""COMPUTED_VALUE"""),"")</f>
        <v/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>
      <c r="A101" s="22">
        <v>96</v>
      </c>
      <c r="B101" s="27" t="str">
        <f ca="1">IFERROR(__xludf.DUMMYFUNCTION("""COMPUTED_VALUE"""),"")</f>
        <v/>
      </c>
      <c r="C101" s="24" t="str">
        <f ca="1">IFERROR(__xludf.DUMMYFUNCTION("""COMPUTED_VALUE"""),"")</f>
        <v/>
      </c>
      <c r="D101" s="24" t="str">
        <f ca="1">IFERROR(__xludf.DUMMYFUNCTION("""COMPUTED_VALUE"""),"")</f>
        <v/>
      </c>
      <c r="E101" s="24" t="str">
        <f ca="1">IFERROR(__xludf.DUMMYFUNCTION("""COMPUTED_VALUE"""),"")</f>
        <v/>
      </c>
      <c r="F101" s="24" t="str">
        <f ca="1">IFERROR(__xludf.DUMMYFUNCTION("""COMPUTED_VALUE"""),"")</f>
        <v/>
      </c>
      <c r="G101" s="24" t="str">
        <f ca="1">IFERROR(__xludf.DUMMYFUNCTION("""COMPUTED_VALUE"""),"")</f>
        <v/>
      </c>
      <c r="H101" s="25" t="str">
        <f ca="1">IFERROR(__xludf.DUMMYFUNCTION("""COMPUTED_VALUE"""),"")</f>
        <v/>
      </c>
      <c r="I101" s="24" t="str">
        <f ca="1">IFERROR(__xludf.DUMMYFUNCTION("""COMPUTED_VALUE"""),"")</f>
        <v/>
      </c>
      <c r="J101" s="25" t="str">
        <f ca="1">IFERROR(__xludf.DUMMYFUNCTION("""COMPUTED_VALUE"""),"")</f>
        <v/>
      </c>
      <c r="K101" s="25" t="str">
        <f ca="1">IFERROR(__xludf.DUMMYFUNCTION("""COMPUTED_VALUE"""),"")</f>
        <v/>
      </c>
      <c r="L101" s="25" t="str">
        <f ca="1">IFERROR(__xludf.DUMMYFUNCTION("""COMPUTED_VALUE"""),"")</f>
        <v/>
      </c>
      <c r="M101" s="25" t="str">
        <f ca="1">IFERROR(__xludf.DUMMYFUNCTION("""COMPUTED_VALUE"""),"")</f>
        <v/>
      </c>
      <c r="N101" s="25" t="str">
        <f ca="1">IFERROR(__xludf.DUMMYFUNCTION("""COMPUTED_VALUE"""),"")</f>
        <v/>
      </c>
      <c r="O101" s="25" t="str">
        <f ca="1">IFERROR(__xludf.DUMMYFUNCTION("""COMPUTED_VALUE"""),"")</f>
        <v/>
      </c>
      <c r="P101" s="24" t="str">
        <f ca="1">IFERROR(__xludf.DUMMYFUNCTION("""COMPUTED_VALUE"""),"")</f>
        <v/>
      </c>
      <c r="Q101" s="26" t="str">
        <f ca="1">IFERROR(__xludf.DUMMYFUNCTION("""COMPUTED_VALUE"""),"")</f>
        <v/>
      </c>
      <c r="R101" s="26" t="str">
        <f ca="1">IFERROR(__xludf.DUMMYFUNCTION("""COMPUTED_VALUE"""),"")</f>
        <v/>
      </c>
      <c r="S101" s="26" t="str">
        <f ca="1">IFERROR(__xludf.DUMMYFUNCTION("""COMPUTED_VALUE"""),"")</f>
        <v/>
      </c>
      <c r="T101" s="24" t="str">
        <f ca="1">IFERROR(__xludf.DUMMYFUNCTION("""COMPUTED_VALUE"""),"")</f>
        <v/>
      </c>
      <c r="U101" s="24" t="str">
        <f ca="1">IFERROR(__xludf.DUMMYFUNCTION("""COMPUTED_VALUE"""),"")</f>
        <v/>
      </c>
      <c r="V101" s="24" t="str">
        <f ca="1">IFERROR(__xludf.DUMMYFUNCTION("""COMPUTED_VALUE"""),"")</f>
        <v/>
      </c>
      <c r="W101" s="25" t="str">
        <f ca="1">IFERROR(__xludf.DUMMYFUNCTION("""COMPUTED_VALUE"""),"")</f>
        <v/>
      </c>
      <c r="X101" s="24" t="str">
        <f ca="1">IFERROR(__xludf.DUMMYFUNCTION("""COMPUTED_VALUE"""),"")</f>
        <v/>
      </c>
      <c r="Y101" s="24" t="str">
        <f ca="1">IFERROR(__xludf.DUMMYFUNCTION("""COMPUTED_VALUE"""),"")</f>
        <v/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>
      <c r="A102" s="22">
        <v>97</v>
      </c>
      <c r="B102" s="27" t="str">
        <f ca="1">IFERROR(__xludf.DUMMYFUNCTION("""COMPUTED_VALUE"""),"")</f>
        <v/>
      </c>
      <c r="C102" s="24" t="str">
        <f ca="1">IFERROR(__xludf.DUMMYFUNCTION("""COMPUTED_VALUE"""),"")</f>
        <v/>
      </c>
      <c r="D102" s="24" t="str">
        <f ca="1">IFERROR(__xludf.DUMMYFUNCTION("""COMPUTED_VALUE"""),"")</f>
        <v/>
      </c>
      <c r="E102" s="24" t="str">
        <f ca="1">IFERROR(__xludf.DUMMYFUNCTION("""COMPUTED_VALUE"""),"")</f>
        <v/>
      </c>
      <c r="F102" s="24" t="str">
        <f ca="1">IFERROR(__xludf.DUMMYFUNCTION("""COMPUTED_VALUE"""),"")</f>
        <v/>
      </c>
      <c r="G102" s="24" t="str">
        <f ca="1">IFERROR(__xludf.DUMMYFUNCTION("""COMPUTED_VALUE"""),"")</f>
        <v/>
      </c>
      <c r="H102" s="25" t="str">
        <f ca="1">IFERROR(__xludf.DUMMYFUNCTION("""COMPUTED_VALUE"""),"")</f>
        <v/>
      </c>
      <c r="I102" s="24" t="str">
        <f ca="1">IFERROR(__xludf.DUMMYFUNCTION("""COMPUTED_VALUE"""),"")</f>
        <v/>
      </c>
      <c r="J102" s="25" t="str">
        <f ca="1">IFERROR(__xludf.DUMMYFUNCTION("""COMPUTED_VALUE"""),"")</f>
        <v/>
      </c>
      <c r="K102" s="25" t="str">
        <f ca="1">IFERROR(__xludf.DUMMYFUNCTION("""COMPUTED_VALUE"""),"")</f>
        <v/>
      </c>
      <c r="L102" s="25" t="str">
        <f ca="1">IFERROR(__xludf.DUMMYFUNCTION("""COMPUTED_VALUE"""),"")</f>
        <v/>
      </c>
      <c r="M102" s="25" t="str">
        <f ca="1">IFERROR(__xludf.DUMMYFUNCTION("""COMPUTED_VALUE"""),"")</f>
        <v/>
      </c>
      <c r="N102" s="25" t="str">
        <f ca="1">IFERROR(__xludf.DUMMYFUNCTION("""COMPUTED_VALUE"""),"")</f>
        <v/>
      </c>
      <c r="O102" s="25" t="str">
        <f ca="1">IFERROR(__xludf.DUMMYFUNCTION("""COMPUTED_VALUE"""),"")</f>
        <v/>
      </c>
      <c r="P102" s="24" t="str">
        <f ca="1">IFERROR(__xludf.DUMMYFUNCTION("""COMPUTED_VALUE"""),"")</f>
        <v/>
      </c>
      <c r="Q102" s="26" t="str">
        <f ca="1">IFERROR(__xludf.DUMMYFUNCTION("""COMPUTED_VALUE"""),"")</f>
        <v/>
      </c>
      <c r="R102" s="26" t="str">
        <f ca="1">IFERROR(__xludf.DUMMYFUNCTION("""COMPUTED_VALUE"""),"")</f>
        <v/>
      </c>
      <c r="S102" s="26" t="str">
        <f ca="1">IFERROR(__xludf.DUMMYFUNCTION("""COMPUTED_VALUE"""),"")</f>
        <v/>
      </c>
      <c r="T102" s="24" t="str">
        <f ca="1">IFERROR(__xludf.DUMMYFUNCTION("""COMPUTED_VALUE"""),"")</f>
        <v/>
      </c>
      <c r="U102" s="24" t="str">
        <f ca="1">IFERROR(__xludf.DUMMYFUNCTION("""COMPUTED_VALUE"""),"")</f>
        <v/>
      </c>
      <c r="V102" s="24" t="str">
        <f ca="1">IFERROR(__xludf.DUMMYFUNCTION("""COMPUTED_VALUE"""),"")</f>
        <v/>
      </c>
      <c r="W102" s="25" t="str">
        <f ca="1">IFERROR(__xludf.DUMMYFUNCTION("""COMPUTED_VALUE"""),"")</f>
        <v/>
      </c>
      <c r="X102" s="24" t="str">
        <f ca="1">IFERROR(__xludf.DUMMYFUNCTION("""COMPUTED_VALUE"""),"")</f>
        <v/>
      </c>
      <c r="Y102" s="24" t="str">
        <f ca="1">IFERROR(__xludf.DUMMYFUNCTION("""COMPUTED_VALUE"""),"")</f>
        <v/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>
      <c r="A103" s="22">
        <v>98</v>
      </c>
      <c r="B103" s="27" t="str">
        <f ca="1">IFERROR(__xludf.DUMMYFUNCTION("""COMPUTED_VALUE"""),"")</f>
        <v/>
      </c>
      <c r="C103" s="24" t="str">
        <f ca="1">IFERROR(__xludf.DUMMYFUNCTION("""COMPUTED_VALUE"""),"")</f>
        <v/>
      </c>
      <c r="D103" s="24" t="str">
        <f ca="1">IFERROR(__xludf.DUMMYFUNCTION("""COMPUTED_VALUE"""),"")</f>
        <v/>
      </c>
      <c r="E103" s="24" t="str">
        <f ca="1">IFERROR(__xludf.DUMMYFUNCTION("""COMPUTED_VALUE"""),"")</f>
        <v/>
      </c>
      <c r="F103" s="24" t="str">
        <f ca="1">IFERROR(__xludf.DUMMYFUNCTION("""COMPUTED_VALUE"""),"")</f>
        <v/>
      </c>
      <c r="G103" s="24" t="str">
        <f ca="1">IFERROR(__xludf.DUMMYFUNCTION("""COMPUTED_VALUE"""),"")</f>
        <v/>
      </c>
      <c r="H103" s="25" t="str">
        <f ca="1">IFERROR(__xludf.DUMMYFUNCTION("""COMPUTED_VALUE"""),"")</f>
        <v/>
      </c>
      <c r="I103" s="24" t="str">
        <f ca="1">IFERROR(__xludf.DUMMYFUNCTION("""COMPUTED_VALUE"""),"")</f>
        <v/>
      </c>
      <c r="J103" s="25" t="str">
        <f ca="1">IFERROR(__xludf.DUMMYFUNCTION("""COMPUTED_VALUE"""),"")</f>
        <v/>
      </c>
      <c r="K103" s="25" t="str">
        <f ca="1">IFERROR(__xludf.DUMMYFUNCTION("""COMPUTED_VALUE"""),"")</f>
        <v/>
      </c>
      <c r="L103" s="25" t="str">
        <f ca="1">IFERROR(__xludf.DUMMYFUNCTION("""COMPUTED_VALUE"""),"")</f>
        <v/>
      </c>
      <c r="M103" s="25" t="str">
        <f ca="1">IFERROR(__xludf.DUMMYFUNCTION("""COMPUTED_VALUE"""),"")</f>
        <v/>
      </c>
      <c r="N103" s="25" t="str">
        <f ca="1">IFERROR(__xludf.DUMMYFUNCTION("""COMPUTED_VALUE"""),"")</f>
        <v/>
      </c>
      <c r="O103" s="25" t="str">
        <f ca="1">IFERROR(__xludf.DUMMYFUNCTION("""COMPUTED_VALUE"""),"")</f>
        <v/>
      </c>
      <c r="P103" s="24" t="str">
        <f ca="1">IFERROR(__xludf.DUMMYFUNCTION("""COMPUTED_VALUE"""),"")</f>
        <v/>
      </c>
      <c r="Q103" s="26" t="str">
        <f ca="1">IFERROR(__xludf.DUMMYFUNCTION("""COMPUTED_VALUE"""),"")</f>
        <v/>
      </c>
      <c r="R103" s="26" t="str">
        <f ca="1">IFERROR(__xludf.DUMMYFUNCTION("""COMPUTED_VALUE"""),"")</f>
        <v/>
      </c>
      <c r="S103" s="26" t="str">
        <f ca="1">IFERROR(__xludf.DUMMYFUNCTION("""COMPUTED_VALUE"""),"")</f>
        <v/>
      </c>
      <c r="T103" s="24" t="str">
        <f ca="1">IFERROR(__xludf.DUMMYFUNCTION("""COMPUTED_VALUE"""),"")</f>
        <v/>
      </c>
      <c r="U103" s="24" t="str">
        <f ca="1">IFERROR(__xludf.DUMMYFUNCTION("""COMPUTED_VALUE"""),"")</f>
        <v/>
      </c>
      <c r="V103" s="24" t="str">
        <f ca="1">IFERROR(__xludf.DUMMYFUNCTION("""COMPUTED_VALUE"""),"")</f>
        <v/>
      </c>
      <c r="W103" s="25" t="str">
        <f ca="1">IFERROR(__xludf.DUMMYFUNCTION("""COMPUTED_VALUE"""),"")</f>
        <v/>
      </c>
      <c r="X103" s="24" t="str">
        <f ca="1">IFERROR(__xludf.DUMMYFUNCTION("""COMPUTED_VALUE"""),"")</f>
        <v/>
      </c>
      <c r="Y103" s="24" t="str">
        <f ca="1">IFERROR(__xludf.DUMMYFUNCTION("""COMPUTED_VALUE"""),"")</f>
        <v/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>
      <c r="A104" s="22">
        <v>99</v>
      </c>
      <c r="B104" s="27" t="str">
        <f ca="1">IFERROR(__xludf.DUMMYFUNCTION("""COMPUTED_VALUE"""),"")</f>
        <v/>
      </c>
      <c r="C104" s="24" t="str">
        <f ca="1">IFERROR(__xludf.DUMMYFUNCTION("""COMPUTED_VALUE"""),"")</f>
        <v/>
      </c>
      <c r="D104" s="24" t="str">
        <f ca="1">IFERROR(__xludf.DUMMYFUNCTION("""COMPUTED_VALUE"""),"")</f>
        <v/>
      </c>
      <c r="E104" s="24" t="str">
        <f ca="1">IFERROR(__xludf.DUMMYFUNCTION("""COMPUTED_VALUE"""),"")</f>
        <v/>
      </c>
      <c r="F104" s="24" t="str">
        <f ca="1">IFERROR(__xludf.DUMMYFUNCTION("""COMPUTED_VALUE"""),"")</f>
        <v/>
      </c>
      <c r="G104" s="24" t="str">
        <f ca="1">IFERROR(__xludf.DUMMYFUNCTION("""COMPUTED_VALUE"""),"")</f>
        <v/>
      </c>
      <c r="H104" s="25" t="str">
        <f ca="1">IFERROR(__xludf.DUMMYFUNCTION("""COMPUTED_VALUE"""),"")</f>
        <v/>
      </c>
      <c r="I104" s="24" t="str">
        <f ca="1">IFERROR(__xludf.DUMMYFUNCTION("""COMPUTED_VALUE"""),"")</f>
        <v/>
      </c>
      <c r="J104" s="25" t="str">
        <f ca="1">IFERROR(__xludf.DUMMYFUNCTION("""COMPUTED_VALUE"""),"")</f>
        <v/>
      </c>
      <c r="K104" s="25" t="str">
        <f ca="1">IFERROR(__xludf.DUMMYFUNCTION("""COMPUTED_VALUE"""),"")</f>
        <v/>
      </c>
      <c r="L104" s="25" t="str">
        <f ca="1">IFERROR(__xludf.DUMMYFUNCTION("""COMPUTED_VALUE"""),"")</f>
        <v/>
      </c>
      <c r="M104" s="25" t="str">
        <f ca="1">IFERROR(__xludf.DUMMYFUNCTION("""COMPUTED_VALUE"""),"")</f>
        <v/>
      </c>
      <c r="N104" s="25" t="str">
        <f ca="1">IFERROR(__xludf.DUMMYFUNCTION("""COMPUTED_VALUE"""),"")</f>
        <v/>
      </c>
      <c r="O104" s="25" t="str">
        <f ca="1">IFERROR(__xludf.DUMMYFUNCTION("""COMPUTED_VALUE"""),"")</f>
        <v/>
      </c>
      <c r="P104" s="24" t="str">
        <f ca="1">IFERROR(__xludf.DUMMYFUNCTION("""COMPUTED_VALUE"""),"")</f>
        <v/>
      </c>
      <c r="Q104" s="26" t="str">
        <f ca="1">IFERROR(__xludf.DUMMYFUNCTION("""COMPUTED_VALUE"""),"")</f>
        <v/>
      </c>
      <c r="R104" s="26" t="str">
        <f ca="1">IFERROR(__xludf.DUMMYFUNCTION("""COMPUTED_VALUE"""),"")</f>
        <v/>
      </c>
      <c r="S104" s="26" t="str">
        <f ca="1">IFERROR(__xludf.DUMMYFUNCTION("""COMPUTED_VALUE"""),"")</f>
        <v/>
      </c>
      <c r="T104" s="24" t="str">
        <f ca="1">IFERROR(__xludf.DUMMYFUNCTION("""COMPUTED_VALUE"""),"")</f>
        <v/>
      </c>
      <c r="U104" s="24" t="str">
        <f ca="1">IFERROR(__xludf.DUMMYFUNCTION("""COMPUTED_VALUE"""),"")</f>
        <v/>
      </c>
      <c r="V104" s="24" t="str">
        <f ca="1">IFERROR(__xludf.DUMMYFUNCTION("""COMPUTED_VALUE"""),"")</f>
        <v/>
      </c>
      <c r="W104" s="25" t="str">
        <f ca="1">IFERROR(__xludf.DUMMYFUNCTION("""COMPUTED_VALUE"""),"")</f>
        <v/>
      </c>
      <c r="X104" s="24" t="str">
        <f ca="1">IFERROR(__xludf.DUMMYFUNCTION("""COMPUTED_VALUE"""),"")</f>
        <v/>
      </c>
      <c r="Y104" s="24" t="str">
        <f ca="1">IFERROR(__xludf.DUMMYFUNCTION("""COMPUTED_VALUE"""),"")</f>
        <v/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>
      <c r="A105" s="22">
        <v>100</v>
      </c>
      <c r="B105" s="27" t="str">
        <f ca="1">IFERROR(__xludf.DUMMYFUNCTION("""COMPUTED_VALUE"""),"")</f>
        <v/>
      </c>
      <c r="C105" s="24" t="str">
        <f ca="1">IFERROR(__xludf.DUMMYFUNCTION("""COMPUTED_VALUE"""),"")</f>
        <v/>
      </c>
      <c r="D105" s="24" t="str">
        <f ca="1">IFERROR(__xludf.DUMMYFUNCTION("""COMPUTED_VALUE"""),"")</f>
        <v/>
      </c>
      <c r="E105" s="24" t="str">
        <f ca="1">IFERROR(__xludf.DUMMYFUNCTION("""COMPUTED_VALUE"""),"")</f>
        <v/>
      </c>
      <c r="F105" s="24" t="str">
        <f ca="1">IFERROR(__xludf.DUMMYFUNCTION("""COMPUTED_VALUE"""),"")</f>
        <v/>
      </c>
      <c r="G105" s="24" t="str">
        <f ca="1">IFERROR(__xludf.DUMMYFUNCTION("""COMPUTED_VALUE"""),"")</f>
        <v/>
      </c>
      <c r="H105" s="25" t="str">
        <f ca="1">IFERROR(__xludf.DUMMYFUNCTION("""COMPUTED_VALUE"""),"")</f>
        <v/>
      </c>
      <c r="I105" s="24" t="str">
        <f ca="1">IFERROR(__xludf.DUMMYFUNCTION("""COMPUTED_VALUE"""),"")</f>
        <v/>
      </c>
      <c r="J105" s="25" t="str">
        <f ca="1">IFERROR(__xludf.DUMMYFUNCTION("""COMPUTED_VALUE"""),"")</f>
        <v/>
      </c>
      <c r="K105" s="25" t="str">
        <f ca="1">IFERROR(__xludf.DUMMYFUNCTION("""COMPUTED_VALUE"""),"")</f>
        <v/>
      </c>
      <c r="L105" s="25" t="str">
        <f ca="1">IFERROR(__xludf.DUMMYFUNCTION("""COMPUTED_VALUE"""),"")</f>
        <v/>
      </c>
      <c r="M105" s="25" t="str">
        <f ca="1">IFERROR(__xludf.DUMMYFUNCTION("""COMPUTED_VALUE"""),"")</f>
        <v/>
      </c>
      <c r="N105" s="25" t="str">
        <f ca="1">IFERROR(__xludf.DUMMYFUNCTION("""COMPUTED_VALUE"""),"")</f>
        <v/>
      </c>
      <c r="O105" s="25" t="str">
        <f ca="1">IFERROR(__xludf.DUMMYFUNCTION("""COMPUTED_VALUE"""),"")</f>
        <v/>
      </c>
      <c r="P105" s="24" t="str">
        <f ca="1">IFERROR(__xludf.DUMMYFUNCTION("""COMPUTED_VALUE"""),"")</f>
        <v/>
      </c>
      <c r="Q105" s="26" t="str">
        <f ca="1">IFERROR(__xludf.DUMMYFUNCTION("""COMPUTED_VALUE"""),"")</f>
        <v/>
      </c>
      <c r="R105" s="26" t="str">
        <f ca="1">IFERROR(__xludf.DUMMYFUNCTION("""COMPUTED_VALUE"""),"")</f>
        <v/>
      </c>
      <c r="S105" s="26" t="str">
        <f ca="1">IFERROR(__xludf.DUMMYFUNCTION("""COMPUTED_VALUE"""),"")</f>
        <v/>
      </c>
      <c r="T105" s="24" t="str">
        <f ca="1">IFERROR(__xludf.DUMMYFUNCTION("""COMPUTED_VALUE"""),"")</f>
        <v/>
      </c>
      <c r="U105" s="24" t="str">
        <f ca="1">IFERROR(__xludf.DUMMYFUNCTION("""COMPUTED_VALUE"""),"")</f>
        <v/>
      </c>
      <c r="V105" s="24" t="str">
        <f ca="1">IFERROR(__xludf.DUMMYFUNCTION("""COMPUTED_VALUE"""),"")</f>
        <v/>
      </c>
      <c r="W105" s="25" t="str">
        <f ca="1">IFERROR(__xludf.DUMMYFUNCTION("""COMPUTED_VALUE"""),"")</f>
        <v/>
      </c>
      <c r="X105" s="24" t="str">
        <f ca="1">IFERROR(__xludf.DUMMYFUNCTION("""COMPUTED_VALUE"""),"")</f>
        <v/>
      </c>
      <c r="Y105" s="24" t="str">
        <f ca="1">IFERROR(__xludf.DUMMYFUNCTION("""COMPUTED_VALUE"""),"")</f>
        <v/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</sheetData>
  <mergeCells count="3">
    <mergeCell ref="B1:Y1"/>
    <mergeCell ref="B2:Y2"/>
    <mergeCell ref="B3:Y3"/>
  </mergeCells>
  <dataValidations count="7">
    <dataValidation type="list" allowBlank="1" showErrorMessage="1" sqref="G6:G105">
      <formula1>"Mr.,Ms.,Mrs."</formula1>
    </dataValidation>
    <dataValidation type="list" allowBlank="1" showErrorMessage="1" sqref="P6:P105">
      <formula1>#REF!</formula1>
    </dataValidation>
    <dataValidation type="list" allowBlank="1" sqref="T6:T105">
      <formula1>#REF!</formula1>
    </dataValidation>
    <dataValidation type="list" allowBlank="1" showErrorMessage="1" sqref="E6:E105">
      <formula1>#REF!</formula1>
    </dataValidation>
    <dataValidation type="list" allowBlank="1" showErrorMessage="1" sqref="C6:C105">
      <formula1>#REF!</formula1>
    </dataValidation>
    <dataValidation type="list" allowBlank="1" showErrorMessage="1" sqref="U6:U105">
      <formula1>#REF!</formula1>
    </dataValidation>
    <dataValidation type="list" allowBlank="1" showErrorMessage="1" sqref="D6:D105">
      <formula1>#REF!</formula1>
    </dataValidation>
  </dataValidations>
  <printOptions horizontalCentered="1" gridLines="1"/>
  <pageMargins left="0.3" right="0.3" top="0.6" bottom="0.3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BCN(Sem1-20-21)</vt:lpstr>
      <vt:lpstr>Student</vt:lpstr>
      <vt:lpstr>'BCN(Sem1-20-21)'!Print_Titles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Mechanical</dc:creator>
  <cp:lastModifiedBy>admin</cp:lastModifiedBy>
  <cp:lastPrinted>2019-12-02T06:57:22Z</cp:lastPrinted>
  <dcterms:created xsi:type="dcterms:W3CDTF">2019-06-19T06:17:32Z</dcterms:created>
  <dcterms:modified xsi:type="dcterms:W3CDTF">2020-12-24T05:18:05Z</dcterms:modified>
</cp:coreProperties>
</file>