
<file path=[Content_Types].xml><?xml version="1.0" encoding="utf-8"?>
<Types xmlns="http://schemas.openxmlformats.org/package/2006/content-types">
  <Override PartName="/xl/_rels/workbook.xml.rels" ContentType="application/vnd.openxmlformats-package.relationships+xml"/>
  <Override PartName="/xl/media/image10.png" ContentType="image/png"/>
  <Override PartName="/xl/media/image9.png" ContentType="image/png"/>
  <Override PartName="/xl/media/image8.png" ContentType="image/png"/>
  <Override PartName="/xl/media/image11.png" ContentType="image/png"/>
  <Override PartName="/xl/media/image3.jpeg" ContentType="image/jpeg"/>
  <Override PartName="/xl/media/image2.png" ContentType="image/png"/>
  <Override PartName="/xl/media/image4.png" ContentType="image/png"/>
  <Override PartName="/xl/media/image5.png" ContentType="image/png"/>
  <Override PartName="/xl/media/image6.png" ContentType="image/png"/>
  <Override PartName="/xl/media/image7.png" ContentType="image/png"/>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drawings/_rels/drawing8.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9.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 sheetId="1" state="visible" r:id="rId2"/>
    <sheet name="Cover" sheetId="2" state="visible" r:id="rId3"/>
    <sheet name="VM_PO" sheetId="3" state="visible" r:id="rId4"/>
    <sheet name="CO" sheetId="4" state="visible" r:id="rId5"/>
    <sheet name="SYL" sheetId="5" state="visible" r:id="rId6"/>
    <sheet name="PLAN" sheetId="6" state="visible" r:id="rId7"/>
    <sheet name="TH" sheetId="7" state="visible" r:id="rId8"/>
    <sheet name="List" sheetId="8" state="visible" r:id="rId9"/>
    <sheet name="Student" sheetId="9" state="hidden" r:id="rId10"/>
  </sheets>
  <externalReferences>
    <externalReference r:id="rId11"/>
    <externalReference r:id="rId12"/>
  </externalReferences>
  <definedNames>
    <definedName function="false" hidden="false" localSheetId="3" name="_xlnm.Print_Area" vbProcedure="false">CO!$A$1:$H$29</definedName>
    <definedName function="false" hidden="false" localSheetId="1" name="_xlnm.Print_Area" vbProcedure="false">Cover!$A$1:$L$12</definedName>
    <definedName function="false" hidden="false" localSheetId="7" name="_xlnm.Print_Area" vbProcedure="false">List!$A$1:$P$106</definedName>
    <definedName function="false" hidden="false" localSheetId="2" name="_xlnm.Print_Area" vbProcedure="false">VM_PO!$A$1:$F$49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<sst xmlns="http://schemas.openxmlformats.org/spreadsheetml/2006/main" count="1107" uniqueCount="440">
  <si>
    <t xml:space="preserve">Subject Attendance Master Data</t>
  </si>
  <si>
    <t xml:space="preserve">Department:</t>
  </si>
  <si>
    <t xml:space="preserve">IT</t>
  </si>
  <si>
    <t xml:space="preserve">Class:</t>
  </si>
  <si>
    <t xml:space="preserve">SE</t>
  </si>
  <si>
    <t xml:space="preserve">Division:</t>
  </si>
  <si>
    <t xml:space="preserve">Teacher:</t>
  </si>
  <si>
    <t xml:space="preserve">Mr. D. S. Gaikwad </t>
  </si>
  <si>
    <t xml:space="preserve">WL/ Wk:</t>
  </si>
  <si>
    <t xml:space="preserve">Theory Subjects:</t>
  </si>
  <si>
    <t xml:space="preserve">Problem Solving and Object Oriented programming</t>
  </si>
  <si>
    <t xml:space="preserve">PSOOP</t>
  </si>
  <si>
    <t xml:space="preserve">URLs for Dept &amp; Class Master Data:</t>
  </si>
  <si>
    <t xml:space="preserve">Import Range for Stud Roll No:</t>
  </si>
  <si>
    <t xml:space="preserve">Import Range for Stud Name:</t>
  </si>
  <si>
    <t xml:space="preserve">Class Master Data:</t>
  </si>
  <si>
    <t xml:space="preserve">Class Teachers</t>
  </si>
  <si>
    <t xml:space="preserve">Subjects</t>
  </si>
  <si>
    <t xml:space="preserve">#Stud</t>
  </si>
  <si>
    <t xml:space="preserve">CT and TGs</t>
  </si>
  <si>
    <t xml:space="preserve">HoD</t>
  </si>
  <si>
    <t xml:space="preserve">PR Batch Range</t>
  </si>
  <si>
    <t xml:space="preserve">Start</t>
  </si>
  <si>
    <t xml:space="preserve">End</t>
  </si>
  <si>
    <t xml:space="preserve">A</t>
  </si>
  <si>
    <t xml:space="preserve">B</t>
  </si>
  <si>
    <t xml:space="preserve">C</t>
  </si>
  <si>
    <t xml:space="preserve">D</t>
  </si>
  <si>
    <t xml:space="preserve">E</t>
  </si>
  <si>
    <t xml:space="preserve">Subjects Assigned to Selected Teacher</t>
  </si>
  <si>
    <t xml:space="preserve">Theory</t>
  </si>
  <si>
    <t xml:space="preserve">Tutorial</t>
  </si>
  <si>
    <t xml:space="preserve">Practical</t>
  </si>
  <si>
    <t xml:space="preserve">Row numbers of subject syllabus in Class-&gt;Syllabus Sheet</t>
  </si>
  <si>
    <t xml:space="preserve">Theory Subject</t>
  </si>
  <si>
    <t xml:space="preserve">Row1</t>
  </si>
  <si>
    <t xml:space="preserve">Row2</t>
  </si>
  <si>
    <t xml:space="preserve">TEACHER'S DIARY</t>
  </si>
  <si>
    <t xml:space="preserve">Class: </t>
  </si>
  <si>
    <t xml:space="preserve">Division: </t>
  </si>
  <si>
    <t xml:space="preserve">Teacher: </t>
  </si>
  <si>
    <t xml:space="preserve">Theory Subject: </t>
  </si>
  <si>
    <t xml:space="preserve">Vision, Mission, Program Educational Objectives, 
Program Outcomes and Program Specific Outcomes</t>
  </si>
  <si>
    <t xml:space="preserve">Program Educational Objectives</t>
  </si>
  <si>
    <t xml:space="preserve">Graduates of the program will possess strong fundamental concepts in mathematics, science, engineering and Technology to address technological challenges.</t>
  </si>
  <si>
    <t xml:space="preserve">Possess knowledge and skills in the field of Computer Science &amp; Engineering and Information Technology for analyzing, designing and implementing complex engineering problems of any domain with innovative approaches.</t>
  </si>
  <si>
    <t xml:space="preserve">Possess an attitude and aptitude for research, entrepreneurship and higher studies in the field of Computer Science &amp; Engineering and Information Technology.</t>
  </si>
  <si>
    <t xml:space="preserve">Have commitment to ethical practices, societal contributions through communities and lifelong learning.</t>
  </si>
  <si>
    <t xml:space="preserve">Possess better communication, presentation, time management and team work skills leading to responsible &amp; competent professionals and will be able to address challenges in the field of IT at global level.</t>
  </si>
  <si>
    <t xml:space="preserve">Project Management and Finance:An ability to function effectively as an individual or as a team member to accomplish a desired goal(s). an ability to understand engineering, management, financial aspects, performance,optimizations and time complexity necessary for professional practice;</t>
  </si>
  <si>
    <t xml:space="preserve">An ability to apply design and development principles in the construction of software systems ofvarying complexity.</t>
  </si>
  <si>
    <t xml:space="preserve">Program Specific Outcomes</t>
  </si>
  <si>
    <t xml:space="preserve"> </t>
  </si>
  <si>
    <t xml:space="preserve">Students will be able to apply engineering principles and practices for the development and maintenance of software system.</t>
  </si>
  <si>
    <t xml:space="preserve">Students will be able to undertake a team project by following professional ethical practices.</t>
  </si>
  <si>
    <t xml:space="preserve">Students will be able to make successful career in IT industry meeting the requirement of industries.</t>
  </si>
  <si>
    <t xml:space="preserve">Mr. D. S. Gaikwad</t>
  </si>
  <si>
    <t xml:space="preserve">Mr. A. J. Kokare</t>
  </si>
  <si>
    <t xml:space="preserve">Dr. S.A. Takale</t>
  </si>
  <si>
    <t xml:space="preserve">Subject Teacher</t>
  </si>
  <si>
    <t xml:space="preserve">Class Teacher</t>
  </si>
  <si>
    <t xml:space="preserve">Principal</t>
  </si>
  <si>
    <t xml:space="preserve">Course Objectives and Outcomes</t>
  </si>
  <si>
    <t xml:space="preserve">Subject:</t>
  </si>
  <si>
    <t xml:space="preserve">Dept:</t>
  </si>
  <si>
    <t xml:space="preserve">Course Objectives</t>
  </si>
  <si>
    <t xml:space="preserve">Employ a problem-solving strategy to breakdown a complex problem into a series of simpler tasks.</t>
  </si>
  <si>
    <t xml:space="preserve">Execute problem-solving actions appropriate to completing a variety of sub problems.</t>
  </si>
  <si>
    <t xml:space="preserve">Apply analytical and logical thinking to extract facts from a problem description and determine how they relate to one another and to the problems to be solved.</t>
  </si>
  <si>
    <t xml:space="preserve">Design and implement an object oriented solution to solve a real life problem.</t>
  </si>
  <si>
    <t xml:space="preserve">Develop problem-solving and programming skills using OOP concept.</t>
  </si>
  <si>
    <t xml:space="preserve">Course Outcomes</t>
  </si>
  <si>
    <t xml:space="preserve">Develop algorithms for solving problems by using modular programming concepts.</t>
  </si>
  <si>
    <t xml:space="preserve">Abstract data and entities from the problem domain, build object models and design software solutions using object-oriented principles and strategies.</t>
  </si>
  <si>
    <t xml:space="preserve">Discover, explore and apply tools and best practices in object-oriented programming.</t>
  </si>
  <si>
    <t xml:space="preserve">Develop programs that appropriately utilize key object-oriented concepts</t>
  </si>
  <si>
    <t xml:space="preserve">Units:</t>
  </si>
  <si>
    <t xml:space="preserve">Unit</t>
  </si>
  <si>
    <t xml:space="preserve">Unit Name</t>
  </si>
  <si>
    <t xml:space="preserve">Syllabus</t>
  </si>
  <si>
    <t xml:space="preserve">Lectures Required </t>
  </si>
  <si>
    <t xml:space="preserve">Lectures Planned</t>
  </si>
  <si>
    <t xml:space="preserve">Lectures Conducted</t>
  </si>
  <si>
    <t xml:space="preserve">Syllabus Coverage (%)</t>
  </si>
  <si>
    <t xml:space="preserve">I</t>
  </si>
  <si>
    <t xml:space="preserve">Problem Solving Concepts</t>
  </si>
  <si>
    <t xml:space="preserve">General Problem Solving Concepts-Types of problems, problems solving with computers, difficulties with problem solving, Problem Solving Aspects, Problem Solving Concepts for computer- constants and variables, data types, functions, operators, expressions and equations, Programming Concepts – communicating with computers, organizing the problem, using the tools, testing the solution, coding the program, Top down design</t>
  </si>
  <si>
    <t xml:space="preserve">II</t>
  </si>
  <si>
    <t xml:space="preserve">Problem Solving with Logic Structures</t>
  </si>
  <si>
    <t xml:space="preserve">Programming Structure - modules and their functions, cohesion &amp; Coupling, Local and global variable, parameters, return values, variable names and data dictionaries, four logic structures. Problem solving with sequential logic structure - The sequential logic structure, solution development. Problem Solving with Decisions – decision logic structure, multiple if/then/else instructions, straight-through logic, positive logic, negative logic, logic conversion, decision tables. Problem solving with loops and case logic structures</t>
  </si>
  <si>
    <t xml:space="preserve">III</t>
  </si>
  <si>
    <t xml:space="preserve">Foundations of Object Oriented Programming</t>
  </si>
  <si>
    <r>
      <rPr>
        <b val="true"/>
        <sz val="10"/>
        <rFont val="Arial"/>
        <family val="2"/>
        <charset val="1"/>
      </rPr>
      <t xml:space="preserve">Introduction:</t>
    </r>
    <r>
      <rPr>
        <sz val="10"/>
        <rFont val="Arial"/>
        <family val="2"/>
        <charset val="1"/>
      </rPr>
      <t xml:space="preserve"> Introduction to procedural, modular, object-oriented and generic programming techniques, Limitations of procedural programming, Need of object-oriented programming,
fundamentals of object-oriented programming: objects, classes, data members, methods, messages, data encapsulation, data abstraction and information hiding, inheritance, polymorphism 
</t>
    </r>
    <r>
      <rPr>
        <b val="true"/>
        <sz val="10"/>
        <rFont val="Arial"/>
        <family val="2"/>
        <charset val="1"/>
      </rPr>
      <t xml:space="preserve">++ Extensions to C</t>
    </r>
    <r>
      <rPr>
        <sz val="10"/>
        <rFont val="Arial"/>
        <family val="2"/>
        <charset val="1"/>
      </rPr>
      <t xml:space="preserve"> : Variable declarations, global scope, ‘const’, reference variables, operators in C++(scope resolution, new , delete), dynamic memory allocation, function prototypes, default and constant arguments, ‘cin’, ‘cout’, inline functions.
</t>
    </r>
    <r>
      <rPr>
        <b val="true"/>
        <sz val="10"/>
        <rFont val="Arial"/>
        <family val="2"/>
        <charset val="1"/>
      </rPr>
      <t xml:space="preserve">Class:</t>
    </r>
    <r>
      <rPr>
        <sz val="10"/>
        <rFont val="Arial"/>
        <family val="2"/>
        <charset val="1"/>
      </rPr>
      <t xml:space="preserve"> Defining a class, data members and member functions, public, private and protected members, inline member functions, static data members, static member functions, constructors, destructors, array of objects, classes, objects and memory, class as ADTs and code reuse</t>
    </r>
  </si>
  <si>
    <t xml:space="preserve">IV</t>
  </si>
  <si>
    <t xml:space="preserve">Overloading and Inheritance</t>
  </si>
  <si>
    <r>
      <rPr>
        <sz val="10"/>
        <rFont val="Arial"/>
        <family val="2"/>
        <charset val="1"/>
      </rPr>
      <t xml:space="preserve">Function overloading, friend function, friend class
</t>
    </r>
    <r>
      <rPr>
        <b val="true"/>
        <sz val="10"/>
        <rFont val="Arial"/>
        <family val="2"/>
        <charset val="1"/>
      </rPr>
      <t xml:space="preserve">Operator Overloading :</t>
    </r>
    <r>
      <rPr>
        <sz val="10"/>
        <rFont val="Arial"/>
        <family val="2"/>
        <charset val="1"/>
      </rPr>
      <t xml:space="preserve"> Introduction, Need of operator overloading, rules for operator overloading, overloading the unary and binary operators using member function, operator overloading using friend function, overloading relational and logical operators, overloading new, delete and assignment operator, type conversions
</t>
    </r>
    <r>
      <rPr>
        <b val="true"/>
        <sz val="10"/>
        <rFont val="Arial"/>
        <family val="2"/>
        <charset val="1"/>
      </rPr>
      <t xml:space="preserve">Inheritance </t>
    </r>
    <r>
      <rPr>
        <sz val="10"/>
        <rFont val="Arial"/>
        <family val="2"/>
        <charset val="1"/>
      </rPr>
      <t xml:space="preserve">: Introduction, Need of inheritance, base and derived classes, member access control, types of inheritance, derived class constructor, constructors in multiple inheritance, overriding member functions, ambiguity in multiple inheritance, virtual base class</t>
    </r>
  </si>
  <si>
    <t xml:space="preserve">V</t>
  </si>
  <si>
    <t xml:space="preserve">Virtual Functions and Templates</t>
  </si>
  <si>
    <r>
      <rPr>
        <b val="true"/>
        <sz val="10"/>
        <rFont val="Arial"/>
        <family val="2"/>
        <charset val="1"/>
      </rPr>
      <t xml:space="preserve">Virtual functions :</t>
    </r>
    <r>
      <rPr>
        <sz val="10"/>
        <rFont val="Arial"/>
        <family val="2"/>
        <charset val="1"/>
      </rPr>
      <t xml:space="preserve"> Pointers to objects, ‘this’ pointer, Pointers to derived class, virtual function, rules for virtual function, pure virtual function, abstract class, virtual destructors, early and late binding, container classes
</t>
    </r>
    <r>
      <rPr>
        <b val="true"/>
        <sz val="10"/>
        <rFont val="Arial"/>
        <family val="2"/>
        <charset val="1"/>
      </rPr>
      <t xml:space="preserve">Templates </t>
    </r>
    <r>
      <rPr>
        <sz val="10"/>
        <rFont val="Arial"/>
        <family val="2"/>
        <charset val="1"/>
      </rPr>
      <t xml:space="preserve">: Introduction, Function template and class template, overloading function template,member function templates and template arguments, Introduction to Standard Template Library (STL), containers, iterators and algorithms
</t>
    </r>
  </si>
  <si>
    <t xml:space="preserve">VI</t>
  </si>
  <si>
    <t xml:space="preserve">Exception Handling and File I/O</t>
  </si>
  <si>
    <r>
      <rPr>
        <b val="true"/>
        <sz val="10"/>
        <rFont val="Arial"/>
        <family val="2"/>
        <charset val="1"/>
      </rPr>
      <t xml:space="preserve">Namespaces:</t>
    </r>
    <r>
      <rPr>
        <sz val="10"/>
        <rFont val="Arial"/>
        <family val="2"/>
        <charset val="1"/>
      </rPr>
      <t xml:space="preserve"> Introduction, Rules of namespaces
</t>
    </r>
    <r>
      <rPr>
        <b val="true"/>
        <sz val="10"/>
        <rFont val="Arial"/>
        <family val="2"/>
        <charset val="1"/>
      </rPr>
      <t xml:space="preserve">Exception Handling:</t>
    </r>
    <r>
      <rPr>
        <sz val="10"/>
        <rFont val="Arial"/>
        <family val="2"/>
        <charset val="1"/>
      </rPr>
      <t xml:space="preserve"> Introduction, Exception handling mechanism: try, catch and throw, Multiple Exceptions, Exceptions with arguments
</t>
    </r>
    <r>
      <rPr>
        <b val="true"/>
        <sz val="10"/>
        <rFont val="Arial"/>
        <family val="2"/>
        <charset val="1"/>
      </rPr>
      <t xml:space="preserve">Managing Console I/O Operations:</t>
    </r>
    <r>
      <rPr>
        <sz val="10"/>
        <rFont val="Arial"/>
        <family val="2"/>
        <charset val="1"/>
      </rPr>
      <t xml:space="preserve"> Introduction, C++ streams, stream classes, unformatted I/O, formatted I/O and I/O manipulators
</t>
    </r>
    <r>
      <rPr>
        <b val="true"/>
        <sz val="10"/>
        <rFont val="Arial"/>
        <family val="2"/>
        <charset val="1"/>
      </rPr>
      <t xml:space="preserve">File I/O:</t>
    </r>
    <r>
      <rPr>
        <sz val="10"/>
        <rFont val="Arial"/>
        <family val="2"/>
        <charset val="1"/>
      </rPr>
      <t xml:space="preserve"> Introduction, Classes for file stream operations, file operations (open, close, read, write, detect end of file), file modes, File pointers and their manipulations, error handling during file operations</t>
    </r>
  </si>
  <si>
    <t xml:space="preserve">Total:</t>
  </si>
  <si>
    <t xml:space="preserve">Mr. S.A. Shinde</t>
  </si>
  <si>
    <t xml:space="preserve">Dr. R.S. Bichkar</t>
  </si>
  <si>
    <t xml:space="preserve">SN</t>
  </si>
  <si>
    <t xml:space="preserve">Plan Date</t>
  </si>
  <si>
    <t xml:space="preserve">Sub-Topic</t>
  </si>
  <si>
    <t xml:space="preserve">Lecture Plan (Topics to be covered, Examples etc.)</t>
  </si>
  <si>
    <t xml:space="preserve">Taught Dates</t>
  </si>
  <si>
    <t xml:space="preserve">Comp-
lete (Y)</t>
  </si>
  <si>
    <t xml:space="preserve">18/06/2019</t>
  </si>
  <si>
    <t xml:space="preserve">Introduction to syllabus</t>
  </si>
  <si>
    <t xml:space="preserve">19/06/2019</t>
  </si>
  <si>
    <t xml:space="preserve">General Problem Solving Concepts-Types of problems, problems solving with computers,</t>
  </si>
  <si>
    <t xml:space="preserve">20/06/2019</t>
  </si>
  <si>
    <t xml:space="preserve">difficulties with problem solving, </t>
  </si>
  <si>
    <t xml:space="preserve">21/06/2019</t>
  </si>
  <si>
    <t xml:space="preserve">Problem Solving Aspects,</t>
  </si>
  <si>
    <t xml:space="preserve">25/06/2019</t>
  </si>
  <si>
    <t xml:space="preserve">Problem Solving Concepts for computer- constants and variables, data types</t>
  </si>
  <si>
    <t xml:space="preserve">Problem Solving Concepts for computer- constants and
variables, data types</t>
  </si>
  <si>
    <t xml:space="preserve">26/06/2019</t>
  </si>
  <si>
    <t xml:space="preserve">functions, operators,</t>
  </si>
  <si>
    <t xml:space="preserve">27/06/2019</t>
  </si>
  <si>
    <t xml:space="preserve">expressions and equations,</t>
  </si>
  <si>
    <t xml:space="preserve">28/06/2019</t>
  </si>
  <si>
    <t xml:space="preserve"> Programming Concepts –communicating with computers,</t>
  </si>
  <si>
    <t xml:space="preserve"> Programming Concepts –
communicating with computers,</t>
  </si>
  <si>
    <t xml:space="preserve">02/07/2019</t>
  </si>
  <si>
    <t xml:space="preserve">organizing the problem, using the tools,</t>
  </si>
  <si>
    <t xml:space="preserve">03/07/2019</t>
  </si>
  <si>
    <t xml:space="preserve">testing the solution, coding
the program,</t>
  </si>
  <si>
    <t xml:space="preserve">04/07/2019</t>
  </si>
  <si>
    <t xml:space="preserve">Programming Structure - modules and their functions, cohesion &amp; Coupling,</t>
  </si>
  <si>
    <t xml:space="preserve">05/07/2019</t>
  </si>
  <si>
    <t xml:space="preserve">Local and global variable, parameters, return values,variable names and data dictionaries, four logic structures.</t>
  </si>
  <si>
    <t xml:space="preserve">09/07/2019</t>
  </si>
  <si>
    <t xml:space="preserve">Problem solving with sequential logic structure - The sequential logic structure, solution development</t>
  </si>
  <si>
    <t xml:space="preserve">10/07/2019</t>
  </si>
  <si>
    <t xml:space="preserve">Problem Solving with Decisions – decision logic structure,</t>
  </si>
  <si>
    <t xml:space="preserve">11/07/2019</t>
  </si>
  <si>
    <t xml:space="preserve">multiple if/then/else instructions, straight-through logic, positive logic,</t>
  </si>
  <si>
    <t xml:space="preserve">12/07/2019</t>
  </si>
  <si>
    <t xml:space="preserve">negative logic, logic conversion, decision tables.</t>
  </si>
  <si>
    <t xml:space="preserve">16/07/2019</t>
  </si>
  <si>
    <t xml:space="preserve"> Problem solving with loops and case logic structures</t>
  </si>
  <si>
    <t xml:space="preserve">17/07/2019</t>
  </si>
  <si>
    <t xml:space="preserve">Introduction: Introduction to procedural, modular, object-oriented and generic programming techniques,Limitations of procedural programming, Need of object-oriented programming,</t>
  </si>
  <si>
    <t xml:space="preserve">18/07/2019</t>
  </si>
  <si>
    <t xml:space="preserve">fundamentals of object-oriented programming: objects, classes, data members, methods,</t>
  </si>
  <si>
    <t xml:space="preserve">19/07/2019</t>
  </si>
  <si>
    <t xml:space="preserve">messages, data encapsulation, data abstraction and information hiding, inheritance, polymorphism</t>
  </si>
  <si>
    <t xml:space="preserve">23/07/2019</t>
  </si>
  <si>
    <t xml:space="preserve">Extensions to C : Variable declarations, global scope, ‘const’, reference variables, operators in
C++(scope resolution, new , delete),</t>
  </si>
  <si>
    <t xml:space="preserve">24/07/2019</t>
  </si>
  <si>
    <t xml:space="preserve">dynamic memory allocation, function prototypes, default and constant arguments, ‘cin’, ‘cout’, inline functions</t>
  </si>
  <si>
    <t xml:space="preserve">25/07/2019</t>
  </si>
  <si>
    <t xml:space="preserve">Class: Defining a class, data members and member functions, public, private and protected members, inline member functions, static data members, static member functions, constructors, destructors,
</t>
  </si>
  <si>
    <t xml:space="preserve">26/07/2019</t>
  </si>
  <si>
    <t xml:space="preserve">array of objects, classes, objects and memory, class as ADTs and code reuse</t>
  </si>
  <si>
    <t xml:space="preserve">01/08/2019</t>
  </si>
  <si>
    <t xml:space="preserve">Function overloading, friend function, 
friend class</t>
  </si>
  <si>
    <t xml:space="preserve">02/08/2019</t>
  </si>
  <si>
    <t xml:space="preserve">Operator Overloading : Introduction, Need of operator overloading, rules for operator overloading, overloading the unary and binary operators using member function,</t>
  </si>
  <si>
    <t xml:space="preserve">06/08/2019</t>
  </si>
  <si>
    <t xml:space="preserve">operator overloading using friend
function, overloading relational and logical operators, </t>
  </si>
  <si>
    <t xml:space="preserve">07/08/2019</t>
  </si>
  <si>
    <t xml:space="preserve">overloading new, delete and assignment
operator, type conversions</t>
  </si>
  <si>
    <t xml:space="preserve">08/08/2019</t>
  </si>
  <si>
    <t xml:space="preserve">Inheritance : Introduction, Need of inheritance, base and derived classes,</t>
  </si>
  <si>
    <t xml:space="preserve">09/08/2019</t>
  </si>
  <si>
    <t xml:space="preserve">member access control,
types of inheritance, derived class constructor,</t>
  </si>
  <si>
    <t xml:space="preserve">13/08/2019</t>
  </si>
  <si>
    <t xml:space="preserve">constructors in multiple inheritance, overriding member functions,</t>
  </si>
  <si>
    <t xml:space="preserve">14/08/2019</t>
  </si>
  <si>
    <t xml:space="preserve">ambiguity in multiple inheritance, virtual base class</t>
  </si>
  <si>
    <t xml:space="preserve">16/08/2019</t>
  </si>
  <si>
    <t xml:space="preserve">Virtual functions : Pointers to objects, ‘this’ pointer,</t>
  </si>
  <si>
    <t xml:space="preserve">20/08/2019</t>
  </si>
  <si>
    <t xml:space="preserve">Pointers to derived class, virtual function, rules for virtual function,</t>
  </si>
  <si>
    <t xml:space="preserve">21/08/2019</t>
  </si>
  <si>
    <t xml:space="preserve">pure virtual function, abstract class, virtual destructors,</t>
  </si>
  <si>
    <t xml:space="preserve">22/08/2019</t>
  </si>
  <si>
    <t xml:space="preserve">early and late binding,
container classes</t>
  </si>
  <si>
    <t xml:space="preserve">23/08/2019</t>
  </si>
  <si>
    <t xml:space="preserve">Templates : Introduction, Function template and class template,</t>
  </si>
  <si>
    <t xml:space="preserve">27/08/2019</t>
  </si>
  <si>
    <t xml:space="preserve">overloading function template,
member function templates and template arguments,</t>
  </si>
  <si>
    <t xml:space="preserve">28/08/2019</t>
  </si>
  <si>
    <t xml:space="preserve">Introduction to Standard Template Library (STL), containers, iterators and algorithms</t>
  </si>
  <si>
    <t xml:space="preserve">29/08/2019</t>
  </si>
  <si>
    <t xml:space="preserve">Namespaces: Introduction, Rules of namespaces Exception Handling: Introduction,</t>
  </si>
  <si>
    <t xml:space="preserve">30/08/2019</t>
  </si>
  <si>
    <t xml:space="preserve">Exception handling mechanism: try, catch and throw, </t>
  </si>
  <si>
    <t xml:space="preserve">03/09/2019</t>
  </si>
  <si>
    <t xml:space="preserve">Multiple Exceptions, Exceptions with arguments</t>
  </si>
  <si>
    <t xml:space="preserve">04/09/2019</t>
  </si>
  <si>
    <t xml:space="preserve">Managing Console I/O Operations: Introduction, C++ streams, stream classes,</t>
  </si>
  <si>
    <t xml:space="preserve">05/09/2019</t>
  </si>
  <si>
    <t xml:space="preserve">unformatted I/O, formatted I/O and I/O manipulators File I/O: Introduction, Classes for file stream operations,</t>
  </si>
  <si>
    <t xml:space="preserve">06/09/2019</t>
  </si>
  <si>
    <t xml:space="preserve">file operations (open, close, read, write,
detect end of file), file modes,</t>
  </si>
  <si>
    <t xml:space="preserve">10/09/2019</t>
  </si>
  <si>
    <t xml:space="preserve">File pointers and their manipulations, error handling during file operations</t>
  </si>
  <si>
    <t xml:space="preserve">Principal </t>
  </si>
  <si>
    <t xml:space="preserve">Div:</t>
  </si>
  <si>
    <t xml:space="preserve"># Stud:</t>
  </si>
  <si>
    <t xml:space="preserve">THEORY</t>
  </si>
  <si>
    <t xml:space="preserve">Roll No.</t>
  </si>
  <si>
    <t xml:space="preserve">Name of the Student</t>
  </si>
  <si>
    <t xml:space="preserve">Total Attendance</t>
  </si>
  <si>
    <t xml:space="preserve">% Attendance</t>
  </si>
  <si>
    <t xml:space="preserve">Date</t>
  </si>
  <si>
    <t xml:space="preserve">Time</t>
  </si>
  <si>
    <t xml:space="preserve">Hr</t>
  </si>
  <si>
    <t xml:space="preserve">1923001</t>
  </si>
  <si>
    <t xml:space="preserve">BANSODE ANKITA NARAYAN</t>
  </si>
  <si>
    <t xml:space="preserve">1923002</t>
  </si>
  <si>
    <t xml:space="preserve">BANSODE KAJAL PANKAJ</t>
  </si>
  <si>
    <t xml:space="preserve">1923003</t>
  </si>
  <si>
    <t xml:space="preserve">BHOSALE MAHESH DEEPAK</t>
  </si>
  <si>
    <t xml:space="preserve">1923004</t>
  </si>
  <si>
    <t xml:space="preserve">BHOSALE PRATIKSHA D.</t>
  </si>
  <si>
    <t xml:space="preserve">1923005</t>
  </si>
  <si>
    <t xml:space="preserve">BULBULE PRATIKSHA SATLING</t>
  </si>
  <si>
    <t xml:space="preserve">1923006</t>
  </si>
  <si>
    <t xml:space="preserve">CHATUR NIKITA BALU</t>
  </si>
  <si>
    <t xml:space="preserve">1923007</t>
  </si>
  <si>
    <t xml:space="preserve">CHAURE SANJIVANI GORAKH</t>
  </si>
  <si>
    <t xml:space="preserve">1923008</t>
  </si>
  <si>
    <t xml:space="preserve">CHAVAN VISHAL DATTA</t>
  </si>
  <si>
    <t xml:space="preserve">1923009</t>
  </si>
  <si>
    <t xml:space="preserve">CHEWALE AKASH RAJIV</t>
  </si>
  <si>
    <t xml:space="preserve">1923010</t>
  </si>
  <si>
    <t xml:space="preserve">CHINDHE SIDDHANT DEEPAK</t>
  </si>
  <si>
    <t xml:space="preserve">1923011</t>
  </si>
  <si>
    <t xml:space="preserve">CHOUGULE SANDIP UTTAM</t>
  </si>
  <si>
    <t xml:space="preserve">1923012</t>
  </si>
  <si>
    <t xml:space="preserve">DHELE GOKUL BANDU</t>
  </si>
  <si>
    <t xml:space="preserve">1923013</t>
  </si>
  <si>
    <t xml:space="preserve">DHUMAL AKASH PRABHAKAR</t>
  </si>
  <si>
    <t xml:space="preserve">1923014</t>
  </si>
  <si>
    <t xml:space="preserve">DIVEKAR MAYURI JAGDISH</t>
  </si>
  <si>
    <t xml:space="preserve">1923015</t>
  </si>
  <si>
    <t xml:space="preserve">FULARI MAHESH DNYANDEV</t>
  </si>
  <si>
    <t xml:space="preserve">1923016</t>
  </si>
  <si>
    <t xml:space="preserve">FUNDE JAYESH VITTHAL</t>
  </si>
  <si>
    <t xml:space="preserve">1923017</t>
  </si>
  <si>
    <t xml:space="preserve">GAWALI SHIVANI JAYANT</t>
  </si>
  <si>
    <t xml:space="preserve">1923018</t>
  </si>
  <si>
    <t xml:space="preserve">GHOGARE MANISH BHARAT</t>
  </si>
  <si>
    <t xml:space="preserve">1923019</t>
  </si>
  <si>
    <t xml:space="preserve">GHUGE PRADNYA SUNIL</t>
  </si>
  <si>
    <t xml:space="preserve">1923020</t>
  </si>
  <si>
    <t xml:space="preserve">GHUMADE RUSHIKESH BALAJI</t>
  </si>
  <si>
    <t xml:space="preserve">1923021</t>
  </si>
  <si>
    <t xml:space="preserve">GIRME VISHWAJIT BHAGWAN</t>
  </si>
  <si>
    <t xml:space="preserve">1923022</t>
  </si>
  <si>
    <t xml:space="preserve">GORDE VAISHALI VITTHAL</t>
  </si>
  <si>
    <t xml:space="preserve">1923023</t>
  </si>
  <si>
    <t xml:space="preserve">INGAWALE ASHWINI TANAJI</t>
  </si>
  <si>
    <t xml:space="preserve">1923024</t>
  </si>
  <si>
    <t xml:space="preserve">JAGDALE PRANITA HANUMANT</t>
  </si>
  <si>
    <t xml:space="preserve">1923025</t>
  </si>
  <si>
    <t xml:space="preserve">JAGTAP ABHISHEK SANJAY</t>
  </si>
  <si>
    <t xml:space="preserve">1923026</t>
  </si>
  <si>
    <t xml:space="preserve">JAMDADE SUSHANT ANNA</t>
  </si>
  <si>
    <t xml:space="preserve">1923027</t>
  </si>
  <si>
    <t xml:space="preserve">JARE UDAYPRATAPSINGH A.</t>
  </si>
  <si>
    <t xml:space="preserve">1923028</t>
  </si>
  <si>
    <t xml:space="preserve">KADAM APEKSHIT VILAS</t>
  </si>
  <si>
    <t xml:space="preserve">1923029</t>
  </si>
  <si>
    <t xml:space="preserve">KALE SHRADDHA SATISH</t>
  </si>
  <si>
    <t xml:space="preserve">1923030</t>
  </si>
  <si>
    <t xml:space="preserve">KALGAONKAR ANIKET GANESH</t>
  </si>
  <si>
    <t xml:space="preserve">1923031</t>
  </si>
  <si>
    <t xml:space="preserve">KAMBLE NIKHIL KALIDAS</t>
  </si>
  <si>
    <t xml:space="preserve">1923032</t>
  </si>
  <si>
    <t xml:space="preserve">KAMBLE PRAVIN SIDDESHWAR</t>
  </si>
  <si>
    <t xml:space="preserve">1923033</t>
  </si>
  <si>
    <t xml:space="preserve">KAWATHEKAR PANKAJA P.</t>
  </si>
  <si>
    <t xml:space="preserve">1923034</t>
  </si>
  <si>
    <t xml:space="preserve">KHAIRE OMKAR SUDHAKAR</t>
  </si>
  <si>
    <t xml:space="preserve">1923035</t>
  </si>
  <si>
    <t xml:space="preserve">KHAMGAL GAURAV SHIVAJI</t>
  </si>
  <si>
    <t xml:space="preserve">1923036</t>
  </si>
  <si>
    <t xml:space="preserve">KHANDARE KUNAL V.</t>
  </si>
  <si>
    <t xml:space="preserve">1923037</t>
  </si>
  <si>
    <t xml:space="preserve">KORE SUMEDH MILIND</t>
  </si>
  <si>
    <t xml:space="preserve">1923038</t>
  </si>
  <si>
    <t xml:space="preserve">KOREKAR SAGAR KISAN</t>
  </si>
  <si>
    <t xml:space="preserve">1923039</t>
  </si>
  <si>
    <t xml:space="preserve">KOTMIRE RAHUL SANTOSH</t>
  </si>
  <si>
    <t xml:space="preserve">1923040</t>
  </si>
  <si>
    <t xml:space="preserve">LANDGE PRACHI VIJAY</t>
  </si>
  <si>
    <t xml:space="preserve">1923041</t>
  </si>
  <si>
    <t xml:space="preserve">LONDHE NEHA SHAHAJI</t>
  </si>
  <si>
    <t xml:space="preserve">1923042</t>
  </si>
  <si>
    <t xml:space="preserve">MANE PRATHAMESH RAJEEV</t>
  </si>
  <si>
    <t xml:space="preserve">1923043</t>
  </si>
  <si>
    <t xml:space="preserve">MARATHE ANKUSH D.</t>
  </si>
  <si>
    <t xml:space="preserve">1923044</t>
  </si>
  <si>
    <t xml:space="preserve">MARATHE ASHISH KIRAN</t>
  </si>
  <si>
    <t xml:space="preserve">1923045</t>
  </si>
  <si>
    <t xml:space="preserve">NADGIRE ANKIT VIVEK</t>
  </si>
  <si>
    <t xml:space="preserve">1923046</t>
  </si>
  <si>
    <t xml:space="preserve">NIMBALKAR SHARWARI R.</t>
  </si>
  <si>
    <t xml:space="preserve">1923047</t>
  </si>
  <si>
    <t xml:space="preserve">NIMBHORKAR SWAPNIL H.</t>
  </si>
  <si>
    <t xml:space="preserve">1923048</t>
  </si>
  <si>
    <t xml:space="preserve">PACHUNDKAR APEKSHA S.</t>
  </si>
  <si>
    <t xml:space="preserve">1923049</t>
  </si>
  <si>
    <t xml:space="preserve">PANCHAL SUPRIYA UDDHAV</t>
  </si>
  <si>
    <t xml:space="preserve">1923050</t>
  </si>
  <si>
    <t xml:space="preserve">PANHALE ROHIT NAMDEO</t>
  </si>
  <si>
    <t xml:space="preserve">1923051</t>
  </si>
  <si>
    <t xml:space="preserve">PATIL NISHANT ANIL</t>
  </si>
  <si>
    <t xml:space="preserve">1923052</t>
  </si>
  <si>
    <t xml:space="preserve">PATIL SWAPNALI DATTATRAYA</t>
  </si>
  <si>
    <t xml:space="preserve">1923053</t>
  </si>
  <si>
    <t xml:space="preserve">PHALKE VIKRANT DEEPAK</t>
  </si>
  <si>
    <t xml:space="preserve">1923054</t>
  </si>
  <si>
    <t xml:space="preserve">PISAL ASHUTOSH C.</t>
  </si>
  <si>
    <t xml:space="preserve">1923055</t>
  </si>
  <si>
    <t xml:space="preserve">PISE RAMKRUSHNA RAVINDRA</t>
  </si>
  <si>
    <t xml:space="preserve">1923056</t>
  </si>
  <si>
    <t xml:space="preserve">POTDAR SIDDHIVINAYAK S.</t>
  </si>
  <si>
    <t xml:space="preserve">1923057</t>
  </si>
  <si>
    <t xml:space="preserve">PRASAD SRISTI S.</t>
  </si>
  <si>
    <t xml:space="preserve">1923058</t>
  </si>
  <si>
    <t xml:space="preserve">RAJEBHOSALE VAISHNAVI V.</t>
  </si>
  <si>
    <t xml:space="preserve">1923059</t>
  </si>
  <si>
    <t xml:space="preserve">RAUT AKASH NATHA</t>
  </si>
  <si>
    <t xml:space="preserve">1923060</t>
  </si>
  <si>
    <t xml:space="preserve">SALUNKE RADHIKA NITIN</t>
  </si>
  <si>
    <t xml:space="preserve">1923061</t>
  </si>
  <si>
    <t xml:space="preserve">SHETTY CHIRAG KRISHNA</t>
  </si>
  <si>
    <t xml:space="preserve">1923062</t>
  </si>
  <si>
    <t xml:space="preserve">SHINDE NISHA SURESH</t>
  </si>
  <si>
    <t xml:space="preserve">1923063</t>
  </si>
  <si>
    <t xml:space="preserve">SHINGAVI KALYANI SANJAY</t>
  </si>
  <si>
    <t xml:space="preserve">1923064</t>
  </si>
  <si>
    <t xml:space="preserve">SUDRIK SHRADDHA BHARAT</t>
  </si>
  <si>
    <t xml:space="preserve">1923065</t>
  </si>
  <si>
    <t xml:space="preserve">SUL RUPALI PANDURANG</t>
  </si>
  <si>
    <t xml:space="preserve">1923066</t>
  </si>
  <si>
    <t xml:space="preserve">SUPEKAR KUNDAN P.</t>
  </si>
  <si>
    <t xml:space="preserve">1923067</t>
  </si>
  <si>
    <t xml:space="preserve">SURYAWANSHI PALASH V.</t>
  </si>
  <si>
    <t xml:space="preserve">1923068</t>
  </si>
  <si>
    <t xml:space="preserve">THAKARE ISHA SANJAY</t>
  </si>
  <si>
    <t xml:space="preserve">1923069</t>
  </si>
  <si>
    <t xml:space="preserve">THORAT ROHAN RAVINDRA</t>
  </si>
  <si>
    <t xml:space="preserve">1923070</t>
  </si>
  <si>
    <t xml:space="preserve">WAGHCHOUDE PRAJWAL P.</t>
  </si>
  <si>
    <t xml:space="preserve">Students Present:</t>
  </si>
  <si>
    <t xml:space="preserve">% Attendance:</t>
  </si>
  <si>
    <t xml:space="preserve">List Type:</t>
  </si>
  <si>
    <t xml:space="preserve">Discrete Structures </t>
  </si>
  <si>
    <t xml:space="preserve">Lect #:</t>
  </si>
  <si>
    <t xml:space="preserve">Total (Hrs)</t>
  </si>
  <si>
    <t xml:space="preserve">Date:</t>
  </si>
  <si>
    <t xml:space="preserve">Time:</t>
  </si>
  <si>
    <t xml:space="preserve">Unit, LP No.</t>
  </si>
  <si>
    <t xml:space="preserve">Hours:</t>
  </si>
  <si>
    <t xml:space="preserve">KHANDARE KUNAL VISHWANATH</t>
  </si>
  <si>
    <t xml:space="preserve">PISAL ASHUTOSH CHANDRAKANT</t>
  </si>
  <si>
    <t xml:space="preserve">PRASAD SRISTI SACHCHIDANAND</t>
  </si>
  <si>
    <t xml:space="preserve">WAGHCHOUDE PRAJWAL PRAVIN</t>
  </si>
  <si>
    <t xml:space="preserve">1923071</t>
  </si>
  <si>
    <t xml:space="preserve">Bihani Abhishek Purushottam </t>
  </si>
  <si>
    <t xml:space="preserve">1923072</t>
  </si>
  <si>
    <t xml:space="preserve">Shedage Vivek Suresh</t>
  </si>
  <si>
    <t xml:space="preserve">1923073</t>
  </si>
  <si>
    <t xml:space="preserve">Jagdale Arpita Ramchandra</t>
  </si>
  <si>
    <t xml:space="preserve">1923074</t>
  </si>
  <si>
    <t xml:space="preserve">BHOSALE SHUBANGI DATTARAY</t>
  </si>
  <si>
    <t xml:space="preserve">1923075</t>
  </si>
  <si>
    <t xml:space="preserve">BOBADE ANISHA TULASHIDAS</t>
  </si>
  <si>
    <t xml:space="preserve">1923076</t>
  </si>
  <si>
    <t xml:space="preserve">GADE NIRAJ SHARAD</t>
  </si>
  <si>
    <t xml:space="preserve">1923077</t>
  </si>
  <si>
    <t xml:space="preserve">GAWADE ANUSHKA MAHESH</t>
  </si>
  <si>
    <t xml:space="preserve">1923078</t>
  </si>
  <si>
    <t xml:space="preserve">JADHAV SHREYASH SANDEEP</t>
  </si>
  <si>
    <t xml:space="preserve">1923079</t>
  </si>
  <si>
    <t xml:space="preserve">JOSHI ANIKET LAXMANRAO</t>
  </si>
  <si>
    <t xml:space="preserve">1923080</t>
  </si>
  <si>
    <t xml:space="preserve">KSHIRSAGAR PAVAN TUKARAM</t>
  </si>
  <si>
    <t xml:space="preserve">1923081</t>
  </si>
  <si>
    <t xml:space="preserve">NIMBALKAR DIVYA NAGNATH</t>
  </si>
  <si>
    <t xml:space="preserve">1923082</t>
  </si>
  <si>
    <t xml:space="preserve">PACHPUTE PRANALI VISHNU</t>
  </si>
  <si>
    <t xml:space="preserve">1923083</t>
  </si>
  <si>
    <t xml:space="preserve">PATHADE JYOTI MOHAN</t>
  </si>
  <si>
    <t xml:space="preserve">1923084</t>
  </si>
  <si>
    <t xml:space="preserve">RAUT RUCHITA TANAJI</t>
  </si>
  <si>
    <t xml:space="preserve">1923085</t>
  </si>
  <si>
    <t xml:space="preserve">SARWADE PRITI SHAHURAJ</t>
  </si>
  <si>
    <t xml:space="preserve">1923086</t>
  </si>
  <si>
    <t xml:space="preserve">TUPASAMUDRE PURVA DATTATRAY</t>
  </si>
  <si>
    <t xml:space="preserve">1923087</t>
  </si>
  <si>
    <t xml:space="preserve">CHIMANE GAYATRI GANGARAM</t>
  </si>
  <si>
    <t xml:space="preserve">1923088</t>
  </si>
  <si>
    <t xml:space="preserve">KAMBALE ABHISHEK DEVIDAS</t>
  </si>
  <si>
    <t xml:space="preserve">1923089</t>
  </si>
  <si>
    <t xml:space="preserve">PANSARE SIDDHI ANANT</t>
  </si>
  <si>
    <t xml:space="preserve">1923090</t>
  </si>
  <si>
    <t xml:space="preserve">MANE SUPRIYA JANARDHAN</t>
  </si>
  <si>
    <t xml:space="preserve">1923091</t>
  </si>
  <si>
    <t xml:space="preserve">VANVE GAURI DHANANJAY</t>
  </si>
  <si>
    <t xml:space="preserve"># Signatures:</t>
  </si>
  <si>
    <t xml:space="preserve"># Students Present:</t>
  </si>
  <si>
    <t xml:space="preserve">Mr. A. J. Kokare </t>
  </si>
  <si>
    <t xml:space="preserve">Dr. S. K. Takale</t>
  </si>
  <si>
    <t xml:space="preserve">Student List (SE, Computer Engineering)</t>
  </si>
  <si>
    <t xml:space="preserve">MSN</t>
  </si>
  <si>
    <t xml:space="preserve">Dept</t>
  </si>
  <si>
    <t xml:space="preserve">Class</t>
  </si>
  <si>
    <t xml:space="preserve">Div.</t>
  </si>
  <si>
    <t xml:space="preserve">Salute</t>
  </si>
  <si>
    <t xml:space="preserve">Student Name
(as in Admission Docs)</t>
  </si>
  <si>
    <t xml:space="preserve">*</t>
  </si>
  <si>
    <t xml:space="preserve">Surname</t>
  </si>
  <si>
    <t xml:space="preserve">First Name</t>
  </si>
  <si>
    <t xml:space="preserve">Last Name</t>
  </si>
  <si>
    <t xml:space="preserve">Full name</t>
  </si>
  <si>
    <t xml:space="preserve">Short Name</t>
  </si>
  <si>
    <t xml:space="preserve">Shortest Name</t>
  </si>
  <si>
    <t xml:space="preserve">Regular</t>
  </si>
  <si>
    <t xml:space="preserve">Result</t>
  </si>
  <si>
    <t xml:space="preserve">SGPA</t>
  </si>
  <si>
    <t xml:space="preserve">EC</t>
  </si>
  <si>
    <t xml:space="preserve">Cat.</t>
  </si>
  <si>
    <t xml:space="preserve">Gen-
der</t>
  </si>
  <si>
    <t xml:space="preserve">Adm Year</t>
  </si>
  <si>
    <t xml:space="preserve">Address</t>
  </si>
  <si>
    <t xml:space="preserve">Phone</t>
  </si>
  <si>
    <t xml:space="preserve">Mobile</t>
  </si>
</sst>
</file>

<file path=xl/styles.xml><?xml version="1.0" encoding="utf-8"?>
<styleSheet xmlns="http://schemas.openxmlformats.org/spreadsheetml/2006/main">
  <numFmts count="8">
    <numFmt numFmtId="164" formatCode="General"/>
    <numFmt numFmtId="165" formatCode="0.0"/>
    <numFmt numFmtId="166" formatCode="DD\/MM\/YY"/>
    <numFmt numFmtId="167" formatCode="@"/>
    <numFmt numFmtId="168" formatCode="DD/MM/YYYY"/>
    <numFmt numFmtId="169" formatCode="DD\/MM"/>
    <numFmt numFmtId="170" formatCode="HH\:MM"/>
    <numFmt numFmtId="171" formatCode="#,##0.0"/>
  </numFmts>
  <fonts count="44">
    <font>
      <sz val="10"/>
      <color rgb="FF000000"/>
      <name val="Arial"/>
      <family val="0"/>
      <charset val="1"/>
    </font>
    <font>
      <sz val="10"/>
      <name val="Arial"/>
      <family val="0"/>
    </font>
    <font>
      <sz val="10"/>
      <name val="Arial"/>
      <family val="0"/>
    </font>
    <font>
      <sz val="10"/>
      <name val="Arial"/>
      <family val="0"/>
    </font>
    <font>
      <sz val="10"/>
      <name val="Arial"/>
      <family val="2"/>
      <charset val="1"/>
    </font>
    <font>
      <b val="true"/>
      <sz val="12"/>
      <name val="Arial"/>
      <family val="0"/>
      <charset val="1"/>
    </font>
    <font>
      <b val="true"/>
      <sz val="11"/>
      <name val="Arial"/>
      <family val="0"/>
      <charset val="1"/>
    </font>
    <font>
      <b val="true"/>
      <sz val="14"/>
      <name val="Arial"/>
      <family val="0"/>
      <charset val="1"/>
    </font>
    <font>
      <sz val="10"/>
      <name val="Arial"/>
      <family val="0"/>
      <charset val="1"/>
    </font>
    <font>
      <sz val="12"/>
      <name val="Arial"/>
      <family val="0"/>
      <charset val="1"/>
    </font>
    <font>
      <b val="true"/>
      <sz val="10"/>
      <name val="Arial"/>
      <family val="0"/>
      <charset val="1"/>
    </font>
    <font>
      <b val="true"/>
      <sz val="11"/>
      <color rgb="FF000000"/>
      <name val="Arial"/>
      <family val="0"/>
      <charset val="1"/>
    </font>
    <font>
      <sz val="11"/>
      <color rgb="FF000000"/>
      <name val="Inconsolata"/>
      <family val="0"/>
      <charset val="1"/>
    </font>
    <font>
      <sz val="10"/>
      <color rgb="FF008000"/>
      <name val="Arial"/>
      <family val="0"/>
      <charset val="1"/>
    </font>
    <font>
      <b val="true"/>
      <sz val="18"/>
      <color rgb="FF0070C0"/>
      <name val="Arial"/>
      <family val="2"/>
      <charset val="1"/>
    </font>
    <font>
      <b val="true"/>
      <sz val="20"/>
      <color rgb="FF0070C0"/>
      <name val="Arial"/>
      <family val="2"/>
      <charset val="1"/>
    </font>
    <font>
      <b val="true"/>
      <sz val="20"/>
      <name val="Arial"/>
      <family val="0"/>
      <charset val="1"/>
    </font>
    <font>
      <b val="true"/>
      <sz val="36"/>
      <color rgb="FFC00000"/>
      <name val="Arial"/>
      <family val="2"/>
      <charset val="1"/>
    </font>
    <font>
      <b val="true"/>
      <sz val="18"/>
      <color rgb="FFC00000"/>
      <name val="Arial"/>
      <family val="2"/>
      <charset val="1"/>
    </font>
    <font>
      <sz val="14"/>
      <name val="Arial"/>
      <family val="0"/>
      <charset val="1"/>
    </font>
    <font>
      <b val="true"/>
      <sz val="18"/>
      <color rgb="FF000000"/>
      <name val="Arial"/>
      <family val="0"/>
      <charset val="1"/>
    </font>
    <font>
      <b val="true"/>
      <sz val="14"/>
      <color rgb="FF000000"/>
      <name val="Arial"/>
      <family val="0"/>
      <charset val="1"/>
    </font>
    <font>
      <b val="true"/>
      <sz val="12"/>
      <name val="Arial"/>
      <family val="2"/>
      <charset val="1"/>
    </font>
    <font>
      <b val="true"/>
      <sz val="13"/>
      <name val="Arial"/>
      <family val="2"/>
      <charset val="1"/>
    </font>
    <font>
      <b val="true"/>
      <sz val="14"/>
      <name val="Arial"/>
      <family val="2"/>
      <charset val="1"/>
    </font>
    <font>
      <b val="true"/>
      <sz val="16"/>
      <name val="Arial"/>
      <family val="2"/>
      <charset val="1"/>
    </font>
    <font>
      <b val="true"/>
      <sz val="11"/>
      <name val="Arial"/>
      <family val="2"/>
      <charset val="1"/>
    </font>
    <font>
      <sz val="11"/>
      <name val="Arial"/>
      <family val="2"/>
      <charset val="1"/>
    </font>
    <font>
      <sz val="12"/>
      <color rgb="FF000000"/>
      <name val="Times New Roman"/>
      <family val="1"/>
      <charset val="1"/>
    </font>
    <font>
      <b val="true"/>
      <sz val="10"/>
      <name val="Arial"/>
      <family val="2"/>
      <charset val="1"/>
    </font>
    <font>
      <sz val="11"/>
      <name val="Arial"/>
      <family val="0"/>
      <charset val="1"/>
    </font>
    <font>
      <b val="true"/>
      <sz val="16"/>
      <name val="Arial"/>
      <family val="0"/>
      <charset val="1"/>
    </font>
    <font>
      <b val="true"/>
      <sz val="11"/>
      <color rgb="FFF7981D"/>
      <name val="Inconsolata"/>
      <family val="0"/>
      <charset val="1"/>
    </font>
    <font>
      <b val="true"/>
      <sz val="13"/>
      <color rgb="FF000000"/>
      <name val="Arial"/>
      <family val="0"/>
      <charset val="1"/>
    </font>
    <font>
      <b val="true"/>
      <sz val="16"/>
      <color rgb="FF000000"/>
      <name val="Arial"/>
      <family val="0"/>
      <charset val="1"/>
    </font>
    <font>
      <b val="true"/>
      <sz val="12"/>
      <color rgb="FF000000"/>
      <name val="Arial"/>
      <family val="0"/>
      <charset val="1"/>
    </font>
    <font>
      <b val="true"/>
      <sz val="9"/>
      <name val="Arial"/>
      <family val="0"/>
      <charset val="1"/>
    </font>
    <font>
      <sz val="10"/>
      <color rgb="FF000000"/>
      <name val="Arial"/>
      <family val="2"/>
      <charset val="1"/>
    </font>
    <font>
      <sz val="12"/>
      <name val="Arial"/>
      <family val="2"/>
      <charset val="1"/>
    </font>
    <font>
      <sz val="12"/>
      <color rgb="FF000000"/>
      <name val="Arial"/>
      <family val="2"/>
      <charset val="1"/>
    </font>
    <font>
      <sz val="9"/>
      <name val="Arial"/>
      <family val="0"/>
      <charset val="1"/>
    </font>
    <font>
      <b val="true"/>
      <sz val="13"/>
      <name val="Arial"/>
      <family val="0"/>
      <charset val="1"/>
    </font>
    <font>
      <sz val="10"/>
      <color rgb="FFFFFFFF"/>
      <name val="Arial"/>
      <family val="0"/>
      <charset val="1"/>
    </font>
    <font>
      <sz val="11"/>
      <color rgb="FF000000"/>
      <name val="Calibri"/>
      <family val="2"/>
      <charset val="1"/>
    </font>
  </fonts>
  <fills count="9">
    <fill>
      <patternFill patternType="none"/>
    </fill>
    <fill>
      <patternFill patternType="gray125"/>
    </fill>
    <fill>
      <patternFill patternType="solid">
        <fgColor rgb="FFFFFFFF"/>
        <bgColor rgb="FFF3F3F3"/>
      </patternFill>
    </fill>
    <fill>
      <patternFill patternType="solid">
        <fgColor rgb="FFC9DAF8"/>
        <bgColor rgb="FFD9D9D9"/>
      </patternFill>
    </fill>
    <fill>
      <patternFill patternType="solid">
        <fgColor rgb="FFEFEFEF"/>
        <bgColor rgb="FFF3F3F3"/>
      </patternFill>
    </fill>
    <fill>
      <patternFill patternType="solid">
        <fgColor rgb="FFFFD966"/>
        <bgColor rgb="FFFFFF99"/>
      </patternFill>
    </fill>
    <fill>
      <patternFill patternType="solid">
        <fgColor rgb="FFFFFF00"/>
        <bgColor rgb="FFFFFF00"/>
      </patternFill>
    </fill>
    <fill>
      <patternFill patternType="solid">
        <fgColor rgb="FFF3F3F3"/>
        <bgColor rgb="FFEFEFEF"/>
      </patternFill>
    </fill>
    <fill>
      <patternFill patternType="solid">
        <fgColor rgb="FFD9D9D9"/>
        <bgColor rgb="FFD9EAD3"/>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style="thin">
        <color rgb="FF4F81BD"/>
      </left>
      <right/>
      <top style="thin">
        <color rgb="FF4F81BD"/>
      </top>
      <bottom/>
      <diagonal/>
    </border>
    <border diagonalUp="false" diagonalDown="false">
      <left/>
      <right/>
      <top style="thin">
        <color rgb="FF4F81BD"/>
      </top>
      <bottom/>
      <diagonal/>
    </border>
    <border diagonalUp="false" diagonalDown="false">
      <left style="thin">
        <color rgb="FF4F81BD"/>
      </left>
      <right/>
      <top style="thin">
        <color rgb="FF4F81BD"/>
      </top>
      <bottom style="thin">
        <color rgb="FF4F81BD"/>
      </bottom>
      <diagonal/>
    </border>
    <border diagonalUp="false" diagonalDown="false">
      <left/>
      <right/>
      <top style="thin">
        <color rgb="FF4F81BD"/>
      </top>
      <bottom style="thin">
        <color rgb="FF4F81BD"/>
      </bottom>
      <diagonal/>
    </border>
    <border diagonalUp="false" diagonalDown="false">
      <left/>
      <right style="thin"/>
      <top style="thin"/>
      <bottom/>
      <diagonal/>
    </border>
    <border diagonalUp="false" diagonalDown="false">
      <left/>
      <right style="thin">
        <color rgb="FF4C4C4C"/>
      </right>
      <top style="thin">
        <color rgb="FF4C4C4C"/>
      </top>
      <bottom style="thin">
        <color rgb="FF4C4C4C"/>
      </bottom>
      <diagonal/>
    </border>
    <border diagonalUp="false" diagonalDown="false">
      <left style="thin">
        <color rgb="FF4C4C4C"/>
      </left>
      <right style="thin">
        <color rgb="FF4C4C4C"/>
      </right>
      <top style="thin">
        <color rgb="FF4C4C4C"/>
      </top>
      <bottom style="thin">
        <color rgb="FF4C4C4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3" borderId="3"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center" textRotation="0" wrapText="true" indent="0" shrinkToFit="false"/>
      <protection locked="true" hidden="false"/>
    </xf>
    <xf numFmtId="164" fontId="11" fillId="2"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2" fillId="6"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right" vertical="center" textRotation="0" wrapText="false" indent="0" shrinkToFit="false"/>
      <protection locked="true" hidden="false"/>
    </xf>
    <xf numFmtId="164" fontId="11" fillId="2" borderId="0" xfId="0" applyFont="true" applyBorder="true" applyAlignment="true" applyProtection="false">
      <alignment horizontal="left" vertical="center" textRotation="0" wrapText="true" indent="0" shrinkToFit="false"/>
      <protection locked="true" hidden="false"/>
    </xf>
    <xf numFmtId="164" fontId="10" fillId="2"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right" vertical="center" textRotation="0" wrapText="false" indent="0" shrinkToFit="false"/>
      <protection locked="true" hidden="false"/>
    </xf>
    <xf numFmtId="164" fontId="11" fillId="6" borderId="0" xfId="0" applyFont="true" applyBorder="false" applyAlignment="true" applyProtection="false">
      <alignment horizontal="right" vertical="center" textRotation="0" wrapText="false" indent="0" shrinkToFit="false"/>
      <protection locked="true" hidden="false"/>
    </xf>
    <xf numFmtId="164" fontId="8" fillId="2" borderId="4" xfId="0" applyFont="true" applyBorder="true" applyAlignment="true" applyProtection="false">
      <alignment horizontal="general" vertical="center" textRotation="0" wrapText="false" indent="0" shrinkToFit="false"/>
      <protection locked="true" hidden="false"/>
    </xf>
    <xf numFmtId="164" fontId="0" fillId="7" borderId="5" xfId="0" applyFont="true" applyBorder="true" applyAlignment="true" applyProtection="false">
      <alignment horizontal="right" vertical="bottom" textRotation="0" wrapText="false" indent="0" shrinkToFit="false"/>
      <protection locked="true" hidden="false"/>
    </xf>
    <xf numFmtId="164" fontId="8" fillId="7" borderId="1" xfId="0" applyFont="true" applyBorder="true" applyAlignment="true" applyProtection="false">
      <alignment horizontal="general" vertical="center"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true" applyAlignment="true" applyProtection="false">
      <alignment horizontal="right"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8" fillId="7" borderId="4" xfId="0" applyFont="true" applyBorder="true" applyAlignment="false" applyProtection="false">
      <alignment horizontal="general" vertical="bottom" textRotation="0" wrapText="false" indent="0" shrinkToFit="false"/>
      <protection locked="true" hidden="false"/>
    </xf>
    <xf numFmtId="164" fontId="8" fillId="7" borderId="6" xfId="0" applyFont="true" applyBorder="true" applyAlignment="true" applyProtection="false">
      <alignment horizontal="center" vertical="bottom" textRotation="0" wrapText="false" indent="0" shrinkToFit="false"/>
      <protection locked="true" hidden="false"/>
    </xf>
    <xf numFmtId="164" fontId="0" fillId="7" borderId="6"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true" applyProtection="false">
      <alignment horizontal="center" vertical="center" textRotation="90" wrapText="true" indent="0" shrinkToFit="false"/>
      <protection locked="true" hidden="false"/>
    </xf>
    <xf numFmtId="164" fontId="0" fillId="7" borderId="1" xfId="0" applyFont="true" applyBorder="true" applyAlignment="true" applyProtection="false">
      <alignment horizontal="center" vertical="center" textRotation="90" wrapText="true" indent="0" shrinkToFit="false"/>
      <protection locked="true" hidden="false"/>
    </xf>
    <xf numFmtId="164" fontId="8" fillId="7" borderId="5" xfId="0" applyFont="true" applyBorder="true" applyAlignment="true" applyProtection="false">
      <alignment horizontal="right" vertical="bottom" textRotation="0" wrapText="true" indent="0" shrinkToFit="false"/>
      <protection locked="true" hidden="false"/>
    </xf>
    <xf numFmtId="164" fontId="8" fillId="7"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center" vertical="bottom" textRotation="0" wrapText="true" indent="0" shrinkToFit="false"/>
      <protection locked="true" hidden="false"/>
    </xf>
    <xf numFmtId="164" fontId="13" fillId="7" borderId="1" xfId="0" applyFont="true" applyBorder="true" applyAlignment="true" applyProtection="false">
      <alignment horizontal="general" vertical="center" textRotation="0" wrapText="false" indent="0" shrinkToFit="false"/>
      <protection locked="true" hidden="false"/>
    </xf>
    <xf numFmtId="164" fontId="8" fillId="7" borderId="0" xfId="0" applyFont="true" applyBorder="false" applyAlignment="true" applyProtection="false">
      <alignment horizontal="right" vertical="bottom" textRotation="0" wrapText="true" indent="0" shrinkToFit="false"/>
      <protection locked="true" hidden="false"/>
    </xf>
    <xf numFmtId="164" fontId="13" fillId="7" borderId="0" xfId="0" applyFont="true" applyBorder="true" applyAlignment="true" applyProtection="false">
      <alignment horizontal="general" vertical="center" textRotation="0" wrapText="false" indent="0" shrinkToFit="false"/>
      <protection locked="true" hidden="false"/>
    </xf>
    <xf numFmtId="164" fontId="10" fillId="7" borderId="0" xfId="0" applyFont="true" applyBorder="false" applyAlignment="true" applyProtection="false">
      <alignment horizontal="right" vertical="bottom" textRotation="0" wrapText="true" indent="0" shrinkToFit="false"/>
      <protection locked="true" hidden="false"/>
    </xf>
    <xf numFmtId="164" fontId="8" fillId="7" borderId="4" xfId="0" applyFont="true" applyBorder="true" applyAlignment="true" applyProtection="false">
      <alignment horizontal="general" vertical="bottom" textRotation="0" wrapText="false" indent="0" shrinkToFit="false"/>
      <protection locked="true" hidden="false"/>
    </xf>
    <xf numFmtId="164" fontId="8" fillId="7" borderId="0" xfId="0" applyFont="true" applyBorder="false" applyAlignment="true" applyProtection="false">
      <alignment horizontal="general" vertical="bottom" textRotation="0" wrapText="false" indent="0" shrinkToFit="false"/>
      <protection locked="true" hidden="false"/>
    </xf>
    <xf numFmtId="164" fontId="8" fillId="7" borderId="6" xfId="0" applyFont="true" applyBorder="true" applyAlignment="true" applyProtection="false">
      <alignment horizontal="general" vertical="bottom" textRotation="0" wrapText="false" indent="0" shrinkToFit="false"/>
      <protection locked="true" hidden="false"/>
    </xf>
    <xf numFmtId="164" fontId="8" fillId="7" borderId="6" xfId="0" applyFont="true" applyBorder="true" applyAlignment="true" applyProtection="false">
      <alignment horizontal="center" vertical="center" textRotation="90" wrapText="true" indent="0" shrinkToFit="false"/>
      <protection locked="true" hidden="false"/>
    </xf>
    <xf numFmtId="164" fontId="8" fillId="7" borderId="6" xfId="0" applyFont="true" applyBorder="true" applyAlignment="true" applyProtection="false">
      <alignment horizontal="center" vertical="center" textRotation="90" wrapText="false" indent="0" shrinkToFit="false"/>
      <protection locked="true" hidden="false"/>
    </xf>
    <xf numFmtId="164" fontId="8" fillId="7" borderId="4" xfId="0" applyFont="true" applyBorder="true" applyAlignment="true" applyProtection="false">
      <alignment horizontal="general" vertical="center" textRotation="0" wrapText="false" indent="0" shrinkToFit="false"/>
      <protection locked="true" hidden="false"/>
    </xf>
    <xf numFmtId="164" fontId="8" fillId="7" borderId="6" xfId="0" applyFont="true" applyBorder="true" applyAlignment="true" applyProtection="false">
      <alignment horizontal="general" vertical="center" textRotation="0" wrapText="false" indent="0" shrinkToFit="false"/>
      <protection locked="true" hidden="false"/>
    </xf>
    <xf numFmtId="164" fontId="8" fillId="7" borderId="6" xfId="0" applyFont="true" applyBorder="true" applyAlignment="true" applyProtection="false">
      <alignment horizontal="center" vertical="bottom" textRotation="0" wrapText="true" indent="0" shrinkToFit="false"/>
      <protection locked="true" hidden="false"/>
    </xf>
    <xf numFmtId="164" fontId="10" fillId="7" borderId="0" xfId="0" applyFont="true" applyBorder="false" applyAlignment="true" applyProtection="false">
      <alignment horizontal="right" vertical="center" textRotation="0" wrapText="false" indent="0" shrinkToFit="false"/>
      <protection locked="true" hidden="false"/>
    </xf>
    <xf numFmtId="164" fontId="8" fillId="7" borderId="0" xfId="0" applyFont="true" applyBorder="false" applyAlignment="true" applyProtection="false">
      <alignment horizontal="general" vertical="center" textRotation="0" wrapText="fals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8" fillId="6" borderId="1" xfId="0" applyFont="true" applyBorder="true" applyAlignment="true" applyProtection="false">
      <alignment horizontal="left" vertical="center" textRotation="0" wrapText="true" indent="0" shrinkToFit="false"/>
      <protection locked="true" hidden="false"/>
    </xf>
    <xf numFmtId="164" fontId="8" fillId="6" borderId="0" xfId="0" applyFont="true" applyBorder="fals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2" borderId="5"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center" vertical="bottom" textRotation="0" wrapText="tru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15" fillId="0" borderId="10" xfId="0" applyFont="true" applyBorder="true" applyAlignment="true" applyProtection="false">
      <alignment horizontal="center" vertical="center" textRotation="0" wrapText="false" indent="0" shrinkToFit="false"/>
      <protection locked="true" hidden="false"/>
    </xf>
    <xf numFmtId="164" fontId="16" fillId="0" borderId="9"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10" xfId="0" applyFont="true" applyBorder="true" applyAlignment="true" applyProtection="false">
      <alignment horizontal="center" vertical="center" textRotation="0" wrapText="false" indent="0" shrinkToFit="false"/>
      <protection locked="true" hidden="false"/>
    </xf>
    <xf numFmtId="164" fontId="17" fillId="8" borderId="11" xfId="0" applyFont="true" applyBorder="true" applyAlignment="true" applyProtection="false">
      <alignment horizontal="center" vertical="center" textRotation="0" wrapText="false" indent="0" shrinkToFit="false"/>
      <protection locked="true" hidden="false"/>
    </xf>
    <xf numFmtId="164" fontId="18" fillId="0" borderId="11" xfId="0" applyFont="true" applyBorder="true" applyAlignment="true" applyProtection="false">
      <alignment horizontal="center" vertical="center" textRotation="0" wrapText="fals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19" fillId="2" borderId="9" xfId="0" applyFont="true" applyBorder="true" applyAlignment="true" applyProtection="false">
      <alignment horizontal="right" vertical="bottom" textRotation="0" wrapText="fals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right" vertical="bottom" textRotation="0" wrapText="false" indent="0" shrinkToFit="false"/>
      <protection locked="true" hidden="false"/>
    </xf>
    <xf numFmtId="164" fontId="7" fillId="2" borderId="10" xfId="0" applyFont="true" applyBorder="true" applyAlignment="true" applyProtection="false">
      <alignment horizontal="left" vertical="center" textRotation="0" wrapText="false" indent="0" shrinkToFit="false"/>
      <protection locked="true" hidden="false"/>
    </xf>
    <xf numFmtId="164" fontId="20" fillId="2" borderId="4" xfId="0" applyFont="true" applyBorder="true" applyAlignment="true" applyProtection="false">
      <alignment horizontal="left" vertical="bottom" textRotation="0" wrapText="false" indent="0" shrinkToFit="false"/>
      <protection locked="true" hidden="false"/>
    </xf>
    <xf numFmtId="164" fontId="20" fillId="2" borderId="10" xfId="0" applyFont="true" applyBorder="true" applyAlignment="true" applyProtection="false">
      <alignment horizontal="left" vertical="center" textRotation="0" wrapText="false" indent="0" shrinkToFit="false"/>
      <protection locked="true" hidden="false"/>
    </xf>
    <xf numFmtId="164" fontId="8" fillId="0" borderId="9" xfId="0" applyFont="true" applyBorder="true" applyAlignment="true" applyProtection="false">
      <alignment horizontal="general" vertical="bottom" textRotation="0" wrapText="false" indent="0" shrinkToFit="false"/>
      <protection locked="true" hidden="false"/>
    </xf>
    <xf numFmtId="164" fontId="21" fillId="2" borderId="4" xfId="0" applyFont="true" applyBorder="true" applyAlignment="true" applyProtection="false">
      <alignment horizontal="left" vertical="bottom" textRotation="0" wrapText="true" indent="0" shrinkToFit="false"/>
      <protection locked="true" hidden="false"/>
    </xf>
    <xf numFmtId="164" fontId="21" fillId="2" borderId="1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9" fillId="2" borderId="0" xfId="0" applyFont="true" applyBorder="false" applyAlignment="true" applyProtection="false">
      <alignment horizontal="center" vertical="bottom" textRotation="0" wrapText="false" indent="0" shrinkToFit="false"/>
      <protection locked="true" hidden="false"/>
    </xf>
    <xf numFmtId="164" fontId="21" fillId="2" borderId="0"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2" borderId="12" xfId="0" applyFont="true" applyBorder="true" applyAlignment="true" applyProtection="false">
      <alignment horizontal="general" vertical="center" textRotation="0" wrapText="false" indent="0" shrinkToFit="false"/>
      <protection locked="true" hidden="false"/>
    </xf>
    <xf numFmtId="164" fontId="8" fillId="2" borderId="13" xfId="0" applyFont="true" applyBorder="true" applyAlignment="true" applyProtection="false">
      <alignment horizontal="general" vertical="center" textRotation="0" wrapText="false" indent="0" shrinkToFit="false"/>
      <protection locked="true" hidden="false"/>
    </xf>
    <xf numFmtId="164" fontId="8" fillId="0" borderId="13" xfId="0" applyFont="true" applyBorder="true" applyAlignment="true" applyProtection="false">
      <alignment horizontal="right" vertical="center" textRotation="0" wrapText="false" indent="0" shrinkToFit="false"/>
      <protection locked="true" hidden="false"/>
    </xf>
    <xf numFmtId="164" fontId="8" fillId="0" borderId="13" xfId="0" applyFont="true" applyBorder="true" applyAlignment="true" applyProtection="false">
      <alignment horizontal="general" vertical="center" textRotation="0" wrapText="false" indent="0" shrinkToFit="false"/>
      <protection locked="true" hidden="false"/>
    </xf>
    <xf numFmtId="164" fontId="8" fillId="0" borderId="14"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3" fillId="0" borderId="0"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26" fillId="8" borderId="1" xfId="0" applyFont="true" applyBorder="true" applyAlignment="true" applyProtection="false">
      <alignment horizontal="left" vertical="center" textRotation="0" wrapText="false" indent="0" shrinkToFit="false"/>
      <protection locked="true" hidden="false"/>
    </xf>
    <xf numFmtId="164" fontId="4" fillId="2" borderId="4" xfId="0" applyFont="true" applyBorder="true" applyAlignment="false" applyProtection="false">
      <alignment horizontal="general" vertical="bottom" textRotation="0" wrapText="false" indent="0" shrinkToFit="false"/>
      <protection locked="true" hidden="false"/>
    </xf>
    <xf numFmtId="164" fontId="4" fillId="0" borderId="15" xfId="0" applyFont="true" applyBorder="true" applyAlignment="true" applyProtection="false">
      <alignment horizontal="general" vertical="bottom" textRotation="0" wrapText="false" indent="0" shrinkToFit="false"/>
      <protection locked="true" hidden="false"/>
    </xf>
    <xf numFmtId="164" fontId="27" fillId="2" borderId="16" xfId="0" applyFont="true" applyBorder="true" applyAlignment="true" applyProtection="false">
      <alignment horizontal="left"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27" fillId="2" borderId="2" xfId="0" applyFont="true" applyBorder="true" applyAlignment="true" applyProtection="false">
      <alignment horizontal="center" vertical="bottom" textRotation="0" wrapText="false" indent="0" shrinkToFit="false"/>
      <protection locked="true" hidden="false"/>
    </xf>
    <xf numFmtId="164" fontId="27" fillId="0" borderId="2" xfId="0" applyFont="true" applyBorder="true" applyAlignment="true" applyProtection="false">
      <alignment horizontal="center" vertical="bottom" textRotation="0" wrapText="false" indent="0" shrinkToFit="false"/>
      <protection locked="true" hidden="false"/>
    </xf>
    <xf numFmtId="164" fontId="27" fillId="2" borderId="2" xfId="0" applyFont="true" applyBorder="true" applyAlignment="true" applyProtection="false">
      <alignment horizontal="left" vertical="center" textRotation="0" wrapText="true" indent="0" shrinkToFit="false"/>
      <protection locked="true" hidden="false"/>
    </xf>
    <xf numFmtId="164" fontId="27" fillId="2" borderId="1" xfId="0" applyFont="true" applyBorder="true" applyAlignment="true" applyProtection="false">
      <alignment horizontal="left" vertical="center" textRotation="0" wrapText="true" indent="0" shrinkToFit="false"/>
      <protection locked="true" hidden="false"/>
    </xf>
    <xf numFmtId="164" fontId="26" fillId="2" borderId="0" xfId="0" applyFont="true" applyBorder="false" applyAlignment="true" applyProtection="false">
      <alignment horizontal="left" vertical="center" textRotation="0" wrapText="false" indent="0" shrinkToFit="false"/>
      <protection locked="true" hidden="false"/>
    </xf>
    <xf numFmtId="164" fontId="27" fillId="2" borderId="0" xfId="0" applyFont="true" applyBorder="false" applyAlignment="true" applyProtection="false">
      <alignment horizontal="left" vertical="center" textRotation="0" wrapText="true" indent="0" shrinkToFit="false"/>
      <protection locked="true" hidden="false"/>
    </xf>
    <xf numFmtId="164" fontId="26" fillId="8" borderId="1" xfId="0" applyFont="true" applyBorder="true" applyAlignment="false" applyProtection="false">
      <alignment horizontal="general" vertical="bottom" textRotation="0" wrapText="false" indent="0" shrinkToFit="false"/>
      <protection locked="true" hidden="false"/>
    </xf>
    <xf numFmtId="164" fontId="27" fillId="2" borderId="2" xfId="0" applyFont="true" applyBorder="true" applyAlignment="true" applyProtection="false">
      <alignment horizontal="center" vertical="center" textRotation="0" wrapText="false" indent="0" shrinkToFit="false"/>
      <protection locked="true" hidden="false"/>
    </xf>
    <xf numFmtId="164" fontId="27" fillId="0" borderId="6"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center" vertical="center" textRotation="0" wrapText="false" indent="0" shrinkToFit="false"/>
      <protection locked="true" hidden="false"/>
    </xf>
    <xf numFmtId="164" fontId="27" fillId="2"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general" vertical="center" textRotation="0" wrapText="true" indent="0" shrinkToFit="false"/>
      <protection locked="true" hidden="false"/>
    </xf>
    <xf numFmtId="164" fontId="27" fillId="2"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4" fillId="2" borderId="15" xfId="0" applyFont="true" applyBorder="true" applyAlignment="false" applyProtection="false">
      <alignment horizontal="general" vertical="bottom" textRotation="0" wrapText="false" indent="0" shrinkToFit="false"/>
      <protection locked="true" hidden="false"/>
    </xf>
    <xf numFmtId="164" fontId="27" fillId="0" borderId="6" xfId="0" applyFont="true" applyBorder="true" applyAlignment="true" applyProtection="false">
      <alignment horizontal="general" vertical="center" textRotation="0" wrapText="true" indent="0" shrinkToFit="false"/>
      <protection locked="true" hidden="false"/>
    </xf>
    <xf numFmtId="164" fontId="27" fillId="2" borderId="17" xfId="0" applyFont="true" applyBorder="true" applyAlignment="true" applyProtection="false">
      <alignment horizontal="center" vertical="bottom" textRotation="0" wrapText="false" indent="0" shrinkToFit="false"/>
      <protection locked="true" hidden="false"/>
    </xf>
    <xf numFmtId="164" fontId="27" fillId="0" borderId="5" xfId="0" applyFont="true" applyBorder="true" applyAlignment="true" applyProtection="false">
      <alignment horizontal="general" vertical="center" textRotation="0" wrapText="true" indent="0" shrinkToFit="false"/>
      <protection locked="true" hidden="false"/>
    </xf>
    <xf numFmtId="164" fontId="27" fillId="2" borderId="1" xfId="0" applyFont="true" applyBorder="true" applyAlignment="true" applyProtection="false">
      <alignment horizontal="center" vertical="bottom" textRotation="0" wrapText="false" indent="0" shrinkToFit="false"/>
      <protection locked="true" hidden="false"/>
    </xf>
    <xf numFmtId="164" fontId="28" fillId="0" borderId="1" xfId="0" applyFont="true" applyBorder="true" applyAlignment="true" applyProtection="false">
      <alignment horizontal="left" vertical="bottom" textRotation="0" wrapText="false" indent="0" shrinkToFit="false"/>
      <protection locked="true" hidden="false"/>
    </xf>
    <xf numFmtId="164" fontId="27" fillId="2" borderId="0" xfId="0" applyFont="true" applyBorder="false" applyAlignment="true" applyProtection="false">
      <alignment horizontal="left" vertical="center" textRotation="0" wrapText="false" indent="0" shrinkToFit="false"/>
      <protection locked="true" hidden="false"/>
    </xf>
    <xf numFmtId="164" fontId="26" fillId="8"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26"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false" indent="0" shrinkToFit="false"/>
      <protection locked="true" hidden="false"/>
    </xf>
    <xf numFmtId="164" fontId="27" fillId="2" borderId="0" xfId="0" applyFont="true" applyBorder="true" applyAlignment="true" applyProtection="false">
      <alignment horizontal="center" vertical="center" textRotation="0" wrapText="false" indent="0" shrinkToFit="false"/>
      <protection locked="true" hidden="false"/>
    </xf>
    <xf numFmtId="164" fontId="30" fillId="2" borderId="0" xfId="0" applyFont="true" applyBorder="true" applyAlignment="true" applyProtection="false">
      <alignment horizontal="center" vertical="center" textRotation="0" wrapText="false" indent="0" shrinkToFit="false"/>
      <protection locked="true" hidden="false"/>
    </xf>
    <xf numFmtId="164" fontId="30"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32" fillId="2" borderId="1" xfId="0" applyFont="true" applyBorder="true" applyAlignment="true" applyProtection="false">
      <alignment horizontal="left" vertical="bottom" textRotation="0" wrapText="false" indent="0" shrinkToFit="false"/>
      <protection locked="true" hidden="false"/>
    </xf>
    <xf numFmtId="164" fontId="30" fillId="2" borderId="0" xfId="0" applyFont="true" applyBorder="false" applyAlignment="true" applyProtection="false">
      <alignment horizontal="left" vertical="center" textRotation="0" wrapText="false" indent="0" shrinkToFit="false"/>
      <protection locked="true" hidden="false"/>
    </xf>
    <xf numFmtId="164" fontId="30" fillId="2" borderId="0" xfId="0" applyFont="true" applyBorder="false" applyAlignment="true" applyProtection="false">
      <alignment horizontal="left" vertical="center" textRotation="0" wrapText="tru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30" fillId="2" borderId="1" xfId="0" applyFont="true" applyBorder="true" applyAlignment="true" applyProtection="false">
      <alignment horizontal="center" vertical="center" textRotation="0" wrapText="false" indent="0" shrinkToFit="false"/>
      <protection locked="true" hidden="false"/>
    </xf>
    <xf numFmtId="164" fontId="30" fillId="2" borderId="16" xfId="0" applyFont="true" applyBorder="true" applyAlignment="true" applyProtection="false">
      <alignment horizontal="left" vertical="center" textRotation="0" wrapText="true" indent="0" shrinkToFit="false"/>
      <protection locked="true" hidden="false"/>
    </xf>
    <xf numFmtId="164" fontId="30" fillId="2" borderId="2" xfId="0" applyFont="true" applyBorder="true" applyAlignment="true" applyProtection="false">
      <alignment horizontal="left" vertical="center" textRotation="0" wrapText="true" indent="0" shrinkToFit="false"/>
      <protection locked="true" hidden="false"/>
    </xf>
    <xf numFmtId="164" fontId="30" fillId="2" borderId="1" xfId="0" applyFont="true" applyBorder="true" applyAlignment="true" applyProtection="false">
      <alignment horizontal="left" vertical="center" textRotation="0" wrapText="true" indent="0" shrinkToFit="false"/>
      <protection locked="true" hidden="false"/>
    </xf>
    <xf numFmtId="164" fontId="33" fillId="2" borderId="0" xfId="0" applyFont="true" applyBorder="true" applyAlignment="true" applyProtection="false">
      <alignment horizontal="center" vertical="center" textRotation="0" wrapText="false" indent="0" shrinkToFit="false"/>
      <protection locked="true" hidden="false"/>
    </xf>
    <xf numFmtId="164" fontId="33" fillId="2" borderId="0" xfId="0" applyFont="true" applyBorder="false" applyAlignment="true" applyProtection="false">
      <alignment horizontal="center" vertical="center" textRotation="0" wrapText="false" indent="0" shrinkToFit="false"/>
      <protection locked="true" hidden="false"/>
    </xf>
    <xf numFmtId="164" fontId="11" fillId="2" borderId="0" xfId="0" applyFont="true" applyBorder="false" applyAlignment="true" applyProtection="false">
      <alignment horizontal="center" vertical="center" textRotation="0" wrapText="false" indent="0" shrinkToFit="false"/>
      <protection locked="true" hidden="false"/>
    </xf>
    <xf numFmtId="164" fontId="34" fillId="2" borderId="0" xfId="0" applyFont="true" applyBorder="true" applyAlignment="true" applyProtection="false">
      <alignment horizontal="center" vertical="center" textRotation="0" wrapText="false" indent="0" shrinkToFit="false"/>
      <protection locked="true" hidden="false"/>
    </xf>
    <xf numFmtId="164" fontId="34"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6" fillId="0" borderId="18"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0" fillId="2" borderId="18" xfId="0" applyFont="true" applyBorder="true" applyAlignment="true" applyProtection="false">
      <alignment horizontal="center" vertical="center" textRotation="0" wrapText="true" indent="0" shrinkToFit="false"/>
      <protection locked="true" hidden="false"/>
    </xf>
    <xf numFmtId="164" fontId="10" fillId="2" borderId="18" xfId="0" applyFont="true" applyBorder="true" applyAlignment="true" applyProtection="false">
      <alignment horizontal="center" vertical="center" textRotation="90" wrapText="true" indent="0" shrinkToFit="false"/>
      <protection locked="true" hidden="false"/>
    </xf>
    <xf numFmtId="164" fontId="10" fillId="2" borderId="1" xfId="0" applyFont="true" applyBorder="true" applyAlignment="true" applyProtection="false">
      <alignment horizontal="center" vertical="center" textRotation="9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6" xfId="0" applyFont="true" applyBorder="true" applyAlignment="true" applyProtection="false">
      <alignment horizontal="general" vertical="center" textRotation="0" wrapText="true" indent="0" shrinkToFit="false"/>
      <protection locked="true" hidden="false"/>
    </xf>
    <xf numFmtId="164" fontId="4" fillId="2" borderId="16" xfId="0" applyFont="true" applyBorder="true" applyAlignment="true" applyProtection="false">
      <alignment horizontal="justify" vertical="center" textRotation="0" wrapText="true" indent="0" shrinkToFit="false"/>
      <protection locked="true" hidden="false"/>
    </xf>
    <xf numFmtId="165" fontId="10" fillId="2" borderId="1"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true" indent="0" shrinkToFit="false"/>
      <protection locked="true" hidden="false"/>
    </xf>
    <xf numFmtId="164" fontId="8" fillId="2" borderId="6"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justify" vertical="center" textRotation="0" wrapText="true" indent="0" shrinkToFit="false"/>
      <protection locked="true" hidden="false"/>
    </xf>
    <xf numFmtId="164" fontId="8" fillId="2" borderId="19" xfId="0" applyFont="true" applyBorder="true" applyAlignment="true" applyProtection="false">
      <alignment horizontal="center" vertical="center" textRotation="0" wrapText="true" indent="0" shrinkToFit="false"/>
      <protection locked="true" hidden="false"/>
    </xf>
    <xf numFmtId="164" fontId="29" fillId="2" borderId="6" xfId="0" applyFont="true" applyBorder="true" applyAlignment="true" applyProtection="false">
      <alignment horizontal="justify"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general" vertical="center" textRotation="0" wrapText="true" indent="0" shrinkToFit="false"/>
      <protection locked="true" hidden="false"/>
    </xf>
    <xf numFmtId="164" fontId="29" fillId="2" borderId="5" xfId="0" applyFont="true" applyBorder="true" applyAlignment="true" applyProtection="false">
      <alignment horizontal="justify" vertical="center" textRotation="0" wrapText="tru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5" fontId="10" fillId="2" borderId="3"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29" fillId="2" borderId="1" xfId="0" applyFont="true" applyBorder="true" applyAlignment="true" applyProtection="false">
      <alignment horizontal="justify" vertical="center" textRotation="0" wrapText="tru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right" vertical="center" textRotation="0" wrapText="true" indent="0" shrinkToFit="false"/>
      <protection locked="true" hidden="false"/>
    </xf>
    <xf numFmtId="164" fontId="8" fillId="0" borderId="20" xfId="0" applyFont="true" applyBorder="true" applyAlignment="true" applyProtection="false">
      <alignment horizontal="general" vertical="center" textRotation="0" wrapText="false" indent="0" shrinkToFit="false"/>
      <protection locked="true" hidden="false"/>
    </xf>
    <xf numFmtId="164" fontId="0" fillId="0" borderId="20" xfId="0" applyFont="true" applyBorder="true" applyAlignment="true" applyProtection="false">
      <alignment horizontal="general" vertical="bottom" textRotation="0" wrapText="false" indent="0" shrinkToFit="false"/>
      <protection locked="true" hidden="false"/>
    </xf>
    <xf numFmtId="164" fontId="26"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35" fillId="2"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64" fontId="32" fillId="2" borderId="1" xfId="0" applyFont="true" applyBorder="true" applyAlignment="true" applyProtection="false">
      <alignment horizontal="left" vertical="center" textRotation="0" wrapText="false" indent="0" shrinkToFit="false"/>
      <protection locked="true" hidden="false"/>
    </xf>
    <xf numFmtId="166" fontId="10" fillId="0" borderId="0" xfId="0" applyFont="true" applyBorder="false" applyAlignment="true" applyProtection="false">
      <alignment horizontal="right" vertical="center" textRotation="0" wrapText="false" indent="0" shrinkToFit="false"/>
      <protection locked="true" hidden="false"/>
    </xf>
    <xf numFmtId="166" fontId="10" fillId="2" borderId="1" xfId="0" applyFont="true" applyBorder="true" applyAlignment="true" applyProtection="false">
      <alignment horizontal="center" vertical="center" textRotation="0" wrapText="true" indent="0" shrinkToFit="false"/>
      <protection locked="true" hidden="false"/>
    </xf>
    <xf numFmtId="164" fontId="36" fillId="2" borderId="3" xfId="0" applyFont="true" applyBorder="true" applyAlignment="true" applyProtection="false">
      <alignment horizontal="center" vertical="center" textRotation="0" wrapText="false" indent="0" shrinkToFit="false"/>
      <protection locked="true" hidden="false"/>
    </xf>
    <xf numFmtId="164" fontId="37" fillId="2" borderId="1" xfId="0" applyFont="true" applyBorder="true" applyAlignment="true" applyProtection="false">
      <alignment horizontal="center" vertical="center" textRotation="0" wrapText="false" indent="0" shrinkToFit="false"/>
      <protection locked="true" hidden="false"/>
    </xf>
    <xf numFmtId="166" fontId="8" fillId="2" borderId="18" xfId="0" applyFont="true" applyBorder="true" applyAlignment="true" applyProtection="false">
      <alignment horizontal="left" vertical="center" textRotation="0" wrapText="false" indent="0" shrinkToFit="false"/>
      <protection locked="true" hidden="false"/>
    </xf>
    <xf numFmtId="164" fontId="37" fillId="0"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6" fontId="8" fillId="2" borderId="1" xfId="0" applyFont="true" applyBorder="true" applyAlignment="true" applyProtection="false">
      <alignment horizontal="center" vertical="center" textRotation="0" wrapText="false" indent="0" shrinkToFit="false"/>
      <protection locked="true" hidden="false"/>
    </xf>
    <xf numFmtId="166" fontId="8" fillId="0" borderId="1" xfId="0" applyFont="true" applyBorder="true" applyAlignment="true" applyProtection="false">
      <alignment horizontal="general"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6" fontId="8" fillId="0" borderId="1" xfId="0" applyFont="true" applyBorder="true" applyAlignment="true" applyProtection="false">
      <alignment horizontal="center" vertical="center" textRotation="0" wrapText="false" indent="0" shrinkToFit="false"/>
      <protection locked="true" hidden="false"/>
    </xf>
    <xf numFmtId="166" fontId="8" fillId="2" borderId="1" xfId="0" applyFont="true" applyBorder="true" applyAlignment="true" applyProtection="false">
      <alignment horizontal="left" vertical="center" textRotation="0" wrapText="false" indent="0" shrinkToFit="false"/>
      <protection locked="true" hidden="false"/>
    </xf>
    <xf numFmtId="166" fontId="4" fillId="2" borderId="18" xfId="0" applyFont="true" applyBorder="true" applyAlignment="true" applyProtection="false">
      <alignment horizontal="left" vertical="center" textRotation="0" wrapText="false" indent="0" shrinkToFit="false"/>
      <protection locked="true" hidden="false"/>
    </xf>
    <xf numFmtId="167" fontId="4" fillId="2" borderId="18" xfId="0" applyFont="true" applyBorder="true" applyAlignment="true" applyProtection="false">
      <alignment horizontal="left" vertical="center" textRotation="0" wrapText="false" indent="0" shrinkToFit="false"/>
      <protection locked="true" hidden="false"/>
    </xf>
    <xf numFmtId="168" fontId="4" fillId="2" borderId="1" xfId="0" applyFont="true" applyBorder="true" applyAlignment="true" applyProtection="false">
      <alignment horizontal="left" vertical="center" textRotation="0" wrapText="true" indent="0" shrinkToFit="false"/>
      <protection locked="true" hidden="false"/>
    </xf>
    <xf numFmtId="166" fontId="38" fillId="0" borderId="1" xfId="0" applyFont="true" applyBorder="true" applyAlignment="true" applyProtection="false">
      <alignment horizontal="center" vertical="center" textRotation="0" wrapText="false" indent="0" shrinkToFit="false"/>
      <protection locked="true" hidden="false"/>
    </xf>
    <xf numFmtId="165" fontId="38" fillId="0" borderId="1" xfId="0" applyFont="true" applyBorder="true" applyAlignment="true" applyProtection="false">
      <alignment horizontal="center" vertical="center" textRotation="0" wrapText="false" indent="0" shrinkToFit="false"/>
      <protection locked="true" hidden="false"/>
    </xf>
    <xf numFmtId="164" fontId="39" fillId="2" borderId="1" xfId="0" applyFont="true" applyBorder="true" applyAlignment="true" applyProtection="false">
      <alignment horizontal="center" vertical="center" textRotation="0" wrapText="false" indent="0" shrinkToFit="false"/>
      <protection locked="true" hidden="false"/>
    </xf>
    <xf numFmtId="164" fontId="28" fillId="0" borderId="1" xfId="0" applyFont="true" applyBorder="true" applyAlignment="true" applyProtection="false">
      <alignment horizontal="justify" vertical="top" textRotation="0" wrapText="true" indent="0" shrinkToFit="false"/>
      <protection locked="true" hidden="false"/>
    </xf>
    <xf numFmtId="164" fontId="38" fillId="2" borderId="1"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5" fontId="29" fillId="0" borderId="0" xfId="0" applyFont="true" applyBorder="true" applyAlignment="true" applyProtection="false">
      <alignment horizontal="center" vertical="center" textRotation="0" wrapText="fals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8"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0" fillId="0" borderId="0" xfId="0" applyFont="true" applyBorder="false" applyAlignment="true" applyProtection="false">
      <alignment horizontal="center" vertical="center" textRotation="0" wrapText="false" indent="0" shrinkToFit="false"/>
      <protection locked="true" hidden="false"/>
    </xf>
    <xf numFmtId="164" fontId="41" fillId="0" borderId="0" xfId="0" applyFont="true" applyBorder="true" applyAlignment="true" applyProtection="false">
      <alignment horizontal="center" vertical="center" textRotation="0" wrapText="false" indent="0" shrinkToFit="false"/>
      <protection locked="true" hidden="false"/>
    </xf>
    <xf numFmtId="164" fontId="40" fillId="0" borderId="0" xfId="0" applyFont="true" applyBorder="false" applyAlignment="true" applyProtection="false">
      <alignment horizontal="left" vertical="center" textRotation="0" wrapText="false" indent="0" shrinkToFit="false"/>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6" fillId="0" borderId="18" xfId="0" applyFont="true" applyBorder="true" applyAlignment="true" applyProtection="false">
      <alignment horizontal="left" vertical="center" textRotation="0" wrapText="false" indent="0" shrinkToFit="false"/>
      <protection locked="true" hidden="false"/>
    </xf>
    <xf numFmtId="164" fontId="42" fillId="0" borderId="0" xfId="0" applyFont="true" applyBorder="true" applyAlignment="true" applyProtection="false">
      <alignment horizontal="general" vertical="bottom" textRotation="0" wrapText="false" indent="0" shrinkToFit="false"/>
      <protection locked="true" hidden="false"/>
    </xf>
    <xf numFmtId="164" fontId="10" fillId="7" borderId="1" xfId="0" applyFont="true" applyBorder="true" applyAlignment="true" applyProtection="false">
      <alignment horizontal="center" vertical="center" textRotation="0" wrapText="false" indent="0" shrinkToFit="false"/>
      <protection locked="true" hidden="false"/>
    </xf>
    <xf numFmtId="164" fontId="10" fillId="7" borderId="16" xfId="0" applyFont="true" applyBorder="true" applyAlignment="true" applyProtection="false">
      <alignment horizontal="center" vertical="center" textRotation="90" wrapText="false" indent="0" shrinkToFit="false"/>
      <protection locked="true" hidden="false"/>
    </xf>
    <xf numFmtId="164" fontId="10" fillId="7" borderId="1" xfId="0" applyFont="true" applyBorder="true" applyAlignment="true" applyProtection="false">
      <alignment horizontal="center" vertical="center" textRotation="90" wrapText="false" indent="0" shrinkToFit="false"/>
      <protection locked="true" hidden="false"/>
    </xf>
    <xf numFmtId="169" fontId="10" fillId="7" borderId="16" xfId="0" applyFont="true" applyBorder="true" applyAlignment="true" applyProtection="false">
      <alignment horizontal="center" vertical="center" textRotation="90" wrapText="false" indent="0" shrinkToFit="false"/>
      <protection locked="true" hidden="false"/>
    </xf>
    <xf numFmtId="169" fontId="10" fillId="7" borderId="1" xfId="0" applyFont="true" applyBorder="true" applyAlignment="true" applyProtection="false">
      <alignment horizontal="center" vertical="center" textRotation="90" wrapText="false" indent="0" shrinkToFit="false"/>
      <protection locked="true" hidden="false"/>
    </xf>
    <xf numFmtId="170" fontId="10" fillId="7" borderId="16" xfId="0" applyFont="true" applyBorder="true" applyAlignment="true" applyProtection="false">
      <alignment horizontal="center" vertical="center" textRotation="90" wrapText="false" indent="0" shrinkToFit="false"/>
      <protection locked="true" hidden="false"/>
    </xf>
    <xf numFmtId="170" fontId="10" fillId="7" borderId="1" xfId="0" applyFont="true" applyBorder="true" applyAlignment="true" applyProtection="false">
      <alignment horizontal="center" vertical="center" textRotation="90" wrapText="false" indent="0" shrinkToFit="false"/>
      <protection locked="true" hidden="false"/>
    </xf>
    <xf numFmtId="164" fontId="10" fillId="7" borderId="6"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43" fillId="0" borderId="21" xfId="0" applyFont="true" applyBorder="true" applyAlignment="false" applyProtection="false">
      <alignment horizontal="general" vertical="bottom" textRotation="0" wrapText="false" indent="0" shrinkToFit="false"/>
      <protection locked="true" hidden="false"/>
    </xf>
    <xf numFmtId="164" fontId="43" fillId="0" borderId="22"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general" vertical="bottom" textRotation="0" wrapText="false" indent="0" shrinkToFit="false"/>
      <protection locked="true" hidden="false"/>
    </xf>
    <xf numFmtId="171" fontId="8" fillId="2" borderId="1" xfId="0" applyFont="true" applyBorder="true" applyAlignment="true" applyProtection="false">
      <alignment horizontal="center" vertical="center" textRotation="0" wrapText="false" indent="0" shrinkToFit="false"/>
      <protection locked="true" hidden="false"/>
    </xf>
    <xf numFmtId="164" fontId="30" fillId="0" borderId="16" xfId="0" applyFont="true" applyBorder="true" applyAlignment="true" applyProtection="false">
      <alignment horizontal="general" vertical="center" textRotation="0" wrapText="false" indent="0" shrinkToFit="false"/>
      <protection locked="true" hidden="false"/>
    </xf>
    <xf numFmtId="164" fontId="43" fillId="0" borderId="23" xfId="0" applyFont="true" applyBorder="true" applyAlignment="false" applyProtection="false">
      <alignment horizontal="general" vertical="bottom" textRotation="0" wrapText="false" indent="0" shrinkToFit="false"/>
      <protection locked="true" hidden="false"/>
    </xf>
    <xf numFmtId="164" fontId="43" fillId="0" borderId="24"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right" vertical="center" textRotation="0" wrapText="false" indent="0" shrinkToFit="false"/>
      <protection locked="true" hidden="false"/>
    </xf>
    <xf numFmtId="164" fontId="10" fillId="0" borderId="18" xfId="0" applyFont="true" applyBorder="true" applyAlignment="true" applyProtection="false">
      <alignment horizontal="general" vertical="center" textRotation="0" wrapText="false" indent="0" shrinkToFit="false"/>
      <protection locked="true" hidden="false"/>
    </xf>
    <xf numFmtId="164" fontId="0" fillId="2" borderId="6" xfId="0" applyFont="true" applyBorder="true" applyAlignment="true" applyProtection="false">
      <alignment horizontal="center" vertical="center" textRotation="90" wrapText="false" indent="0" shrinkToFit="false"/>
      <protection locked="true" hidden="false"/>
    </xf>
    <xf numFmtId="164" fontId="0" fillId="2" borderId="1" xfId="0" applyFont="true" applyBorder="true" applyAlignment="true" applyProtection="false">
      <alignment horizontal="center" vertical="center" textRotation="90" wrapText="false" indent="0" shrinkToFit="false"/>
      <protection locked="true" hidden="false"/>
    </xf>
    <xf numFmtId="165" fontId="0" fillId="2" borderId="16" xfId="0" applyFont="true" applyBorder="true" applyAlignment="true" applyProtection="false">
      <alignment horizontal="center" vertical="center" textRotation="90" wrapText="false" indent="0" shrinkToFit="false"/>
      <protection locked="true" hidden="false"/>
    </xf>
    <xf numFmtId="165" fontId="0" fillId="2" borderId="1" xfId="0" applyFont="true" applyBorder="true" applyAlignment="true" applyProtection="false">
      <alignment horizontal="center" vertical="center" textRotation="9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35" fillId="2" borderId="0" xfId="0" applyFont="true" applyBorder="true" applyAlignment="true" applyProtection="false">
      <alignment horizontal="center" vertical="center" textRotation="0" wrapText="false" indent="0" shrinkToFit="false"/>
      <protection locked="true" hidden="false"/>
    </xf>
    <xf numFmtId="164" fontId="21" fillId="2" borderId="0"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35" fillId="2" borderId="0" xfId="0" applyFont="true" applyBorder="false" applyAlignment="true" applyProtection="false">
      <alignment horizontal="center" vertical="bottom" textRotation="0" wrapText="false" indent="0" shrinkToFit="false"/>
      <protection locked="true" hidden="false"/>
    </xf>
    <xf numFmtId="164" fontId="42"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30" fillId="0" borderId="1" xfId="0" applyFont="true" applyBorder="true" applyAlignment="true" applyProtection="false">
      <alignment horizontal="left" vertical="center" textRotation="0" wrapText="false" indent="0" shrinkToFit="false"/>
      <protection locked="true" hidden="false"/>
    </xf>
    <xf numFmtId="164" fontId="42" fillId="0" borderId="0" xfId="0" applyFont="true" applyBorder="false" applyAlignment="true" applyProtection="false">
      <alignment horizontal="left" vertical="center" textRotation="0" wrapText="false" indent="0" shrinkToFit="false"/>
      <protection locked="true" hidden="false"/>
    </xf>
    <xf numFmtId="164" fontId="10" fillId="2" borderId="3" xfId="0" applyFont="true" applyBorder="true" applyAlignment="true" applyProtection="false">
      <alignment horizontal="center" vertical="center" textRotation="0" wrapText="false" indent="0" shrinkToFit="false"/>
      <protection locked="true" hidden="false"/>
    </xf>
    <xf numFmtId="164" fontId="36" fillId="2" borderId="19" xfId="0" applyFont="true" applyBorder="true" applyAlignment="true" applyProtection="false">
      <alignment horizontal="center" vertical="center" textRotation="0" wrapText="false" indent="0" shrinkToFit="false"/>
      <protection locked="true" hidden="false"/>
    </xf>
    <xf numFmtId="164" fontId="10" fillId="2" borderId="25" xfId="0" applyFont="true" applyBorder="true" applyAlignment="true" applyProtection="false">
      <alignment horizontal="right" vertical="center" textRotation="0" wrapText="true" indent="0" shrinkToFit="false"/>
      <protection locked="true" hidden="false"/>
    </xf>
    <xf numFmtId="164" fontId="10" fillId="2" borderId="0" xfId="0" applyFont="true" applyBorder="false" applyAlignment="true" applyProtection="false">
      <alignment horizontal="right" vertical="center" textRotation="0" wrapText="true" indent="0" shrinkToFit="false"/>
      <protection locked="true" hidden="false"/>
    </xf>
    <xf numFmtId="164" fontId="10" fillId="2" borderId="5" xfId="0" applyFont="true" applyBorder="true" applyAlignment="true" applyProtection="false">
      <alignment horizontal="right" vertical="center" textRotation="0" wrapText="false" indent="0" shrinkToFit="false"/>
      <protection locked="true" hidden="false"/>
    </xf>
    <xf numFmtId="164" fontId="30" fillId="0" borderId="18" xfId="0" applyFont="true" applyBorder="true" applyAlignment="true" applyProtection="false">
      <alignment horizontal="center" vertical="center" textRotation="0" wrapText="false" indent="0" shrinkToFit="false"/>
      <protection locked="true" hidden="false"/>
    </xf>
    <xf numFmtId="164" fontId="43"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8" fillId="2" borderId="16" xfId="0" applyFont="true" applyBorder="true" applyAlignment="true" applyProtection="false">
      <alignment horizontal="left" vertical="center" textRotation="0" wrapText="false" indent="0" shrinkToFit="false"/>
      <protection locked="true" hidden="false"/>
    </xf>
    <xf numFmtId="164" fontId="8" fillId="2" borderId="1" xfId="0" applyFont="true" applyBorder="true" applyAlignment="true" applyProtection="false">
      <alignment horizontal="left" vertical="center" textRotation="0" wrapText="false" indent="0" shrinkToFit="false"/>
      <protection locked="true" hidden="false"/>
    </xf>
    <xf numFmtId="164" fontId="30" fillId="8" borderId="18" xfId="0" applyFont="true" applyBorder="true" applyAlignment="true" applyProtection="false">
      <alignment horizontal="center" vertical="center" textRotation="0" wrapText="false" indent="0" shrinkToFit="false"/>
      <protection locked="true" hidden="false"/>
    </xf>
    <xf numFmtId="164" fontId="43"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4" fontId="8" fillId="8" borderId="16"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center" vertical="center" textRotation="0" wrapText="false" indent="0" shrinkToFit="false"/>
      <protection locked="true" hidden="false"/>
    </xf>
    <xf numFmtId="165" fontId="8" fillId="8" borderId="1" xfId="0" applyFont="true" applyBorder="true" applyAlignment="true" applyProtection="false">
      <alignment horizontal="center" vertical="center" textRotation="0" wrapText="false" indent="0" shrinkToFit="false"/>
      <protection locked="true" hidden="false"/>
    </xf>
    <xf numFmtId="164" fontId="8" fillId="0" borderId="16" xfId="0" applyFont="true" applyBorder="true" applyAlignment="true" applyProtection="false">
      <alignment horizontal="center"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8" fillId="0" borderId="20" xfId="0" applyFont="true" applyBorder="true" applyAlignment="true" applyProtection="false">
      <alignment horizontal="center" vertical="center" textRotation="0" wrapText="false" indent="0" shrinkToFit="false"/>
      <protection locked="true" hidden="false"/>
    </xf>
    <xf numFmtId="165"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26" xfId="0" applyFont="true" applyBorder="true" applyAlignment="true" applyProtection="false">
      <alignment horizontal="center" vertical="center" textRotation="0" wrapText="true" indent="0" shrinkToFit="false"/>
      <protection locked="true" hidden="false"/>
    </xf>
    <xf numFmtId="164" fontId="12" fillId="6" borderId="0" xfId="0" applyFont="true" applyBorder="false" applyAlignment="true" applyProtection="false">
      <alignment horizontal="center" vertical="bottom" textRotation="0" wrapText="false" indent="0" shrinkToFit="false"/>
      <protection locked="true" hidden="false"/>
    </xf>
    <xf numFmtId="164" fontId="8" fillId="0" borderId="27" xfId="0" applyFont="true" applyBorder="true" applyAlignment="true" applyProtection="false">
      <alignment horizontal="center"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8" fillId="0" borderId="26"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dxfs count="12">
    <dxf>
      <font>
        <color rgb="FFFFFFFF"/>
      </font>
      <fill>
        <patternFill>
          <bgColor rgb="FFFFFFFF"/>
        </patternFill>
      </fill>
    </dxf>
    <dxf>
      <font>
        <color rgb="FFE06666"/>
      </font>
      <fill>
        <patternFill>
          <bgColor rgb="FFE06666"/>
        </patternFill>
      </fill>
    </dxf>
    <dxf>
      <fill>
        <patternFill>
          <bgColor rgb="FFE06666"/>
        </patternFill>
      </fill>
    </dxf>
    <dxf>
      <fill>
        <patternFill>
          <bgColor rgb="FFEA9999"/>
        </patternFill>
      </fill>
    </dxf>
    <dxf>
      <fill>
        <patternFill>
          <bgColor rgb="FFD9EAD3"/>
        </patternFill>
      </fill>
    </dxf>
    <dxf>
      <fill>
        <patternFill>
          <bgColor rgb="FFFFFFFF"/>
        </patternFill>
      </fill>
    </dxf>
    <dxf>
      <font>
        <color rgb="FFFFFFFF"/>
      </font>
      <fill>
        <patternFill>
          <bgColor rgb="FFFFFFFF"/>
        </patternFill>
      </fill>
    </dxf>
    <dxf>
      <fill>
        <patternFill>
          <bgColor rgb="FFE06666"/>
        </patternFill>
      </fill>
    </dxf>
    <dxf>
      <fill>
        <patternFill>
          <bgColor rgb="FFEA9999"/>
        </patternFill>
      </fill>
    </dxf>
    <dxf>
      <fill>
        <patternFill>
          <bgColor rgb="FFD9EAD3"/>
        </patternFill>
      </fill>
    </dxf>
    <dxf>
      <fill>
        <patternFill>
          <bgColor rgb="FFFFFFFF"/>
        </patternFill>
      </fill>
    </dxf>
    <dxf>
      <font>
        <color rgb="FFFFFFFF"/>
      </font>
      <fill>
        <patternFill>
          <bgColor rgb="FFFFFFFF"/>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3F3F3"/>
      <rgbColor rgb="FFEFEFEF"/>
      <rgbColor rgb="FF660066"/>
      <rgbColor rgb="FFE06666"/>
      <rgbColor rgb="FF0070C0"/>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EA9999"/>
      <rgbColor rgb="FFCC99FF"/>
      <rgbColor rgb="FFFFD966"/>
      <rgbColor rgb="FF3366FF"/>
      <rgbColor rgb="FF33CCCC"/>
      <rgbColor rgb="FF99CC00"/>
      <rgbColor rgb="FFFFCC00"/>
      <rgbColor rgb="FFF7981D"/>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jpeg"/>
</Relationships>
</file>

<file path=xl/drawings/_rels/drawing3.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
</Relationships>
</file>

<file path=xl/drawings/_rels/drawing4.xml.rels><?xml version="1.0" encoding="UTF-8"?>
<Relationships xmlns="http://schemas.openxmlformats.org/package/2006/relationships"><Relationship Id="rId1" Type="http://schemas.openxmlformats.org/officeDocument/2006/relationships/image" Target="../media/image6.png"/>
</Relationships>
</file>

<file path=xl/drawings/_rels/drawing5.xml.rels><?xml version="1.0" encoding="UTF-8"?>
<Relationships xmlns="http://schemas.openxmlformats.org/package/2006/relationships"><Relationship Id="rId1" Type="http://schemas.openxmlformats.org/officeDocument/2006/relationships/image" Target="../media/image7.png"/>
</Relationships>
</file>

<file path=xl/drawings/_rels/drawing6.xml.rels><?xml version="1.0" encoding="UTF-8"?>
<Relationships xmlns="http://schemas.openxmlformats.org/package/2006/relationships"><Relationship Id="rId1" Type="http://schemas.openxmlformats.org/officeDocument/2006/relationships/image" Target="../media/image8.png"/>
</Relationships>
</file>

<file path=xl/drawings/_rels/drawing7.xml.rels><?xml version="1.0" encoding="UTF-8"?>
<Relationships xmlns="http://schemas.openxmlformats.org/package/2006/relationships"><Relationship Id="rId1" Type="http://schemas.openxmlformats.org/officeDocument/2006/relationships/image" Target="../media/image9.png"/>
</Relationships>
</file>

<file path=xl/drawings/_rels/drawing8.xml.rels><?xml version="1.0" encoding="UTF-8"?>
<Relationships xmlns="http://schemas.openxmlformats.org/package/2006/relationships"><Relationship Id="rId1" Type="http://schemas.openxmlformats.org/officeDocument/2006/relationships/image" Target="../media/image10.png"/>
</Relationships>
</file>

<file path=xl/drawings/_rels/drawing9.xml.rels><?xml version="1.0" encoding="UTF-8"?>
<Relationships xmlns="http://schemas.openxmlformats.org/package/2006/relationships"><Relationship Id="rId1" Type="http://schemas.openxmlformats.org/officeDocument/2006/relationships/image" Target="../media/image1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428400</xdr:colOff>
      <xdr:row>2</xdr:row>
      <xdr:rowOff>56880</xdr:rowOff>
    </xdr:to>
    <xdr:pic>
      <xdr:nvPicPr>
        <xdr:cNvPr id="0" name="image2.png" descr=""/>
        <xdr:cNvPicPr/>
      </xdr:nvPicPr>
      <xdr:blipFill>
        <a:blip r:embed="rId1"/>
        <a:stretch/>
      </xdr:blipFill>
      <xdr:spPr>
        <a:xfrm>
          <a:off x="0" y="0"/>
          <a:ext cx="428400" cy="485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0</xdr:row>
      <xdr:rowOff>1209600</xdr:rowOff>
    </xdr:from>
    <xdr:to>
      <xdr:col>1</xdr:col>
      <xdr:colOff>304560</xdr:colOff>
      <xdr:row>1</xdr:row>
      <xdr:rowOff>504360</xdr:rowOff>
    </xdr:to>
    <xdr:pic>
      <xdr:nvPicPr>
        <xdr:cNvPr id="1" name="Picture 2" descr=""/>
        <xdr:cNvPicPr/>
      </xdr:nvPicPr>
      <xdr:blipFill>
        <a:blip r:embed="rId1"/>
        <a:stretch/>
      </xdr:blipFill>
      <xdr:spPr>
        <a:xfrm>
          <a:off x="57240" y="1209600"/>
          <a:ext cx="811800" cy="8568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146520</xdr:colOff>
      <xdr:row>2</xdr:row>
      <xdr:rowOff>18720</xdr:rowOff>
    </xdr:to>
    <xdr:pic>
      <xdr:nvPicPr>
        <xdr:cNvPr id="2" name="image1.png" descr=""/>
        <xdr:cNvPicPr/>
      </xdr:nvPicPr>
      <xdr:blipFill>
        <a:blip r:embed="rId1"/>
        <a:stretch/>
      </xdr:blipFill>
      <xdr:spPr>
        <a:xfrm>
          <a:off x="0" y="0"/>
          <a:ext cx="428400" cy="485280"/>
        </a:xfrm>
        <a:prstGeom prst="rect">
          <a:avLst/>
        </a:prstGeom>
        <a:ln>
          <a:noFill/>
        </a:ln>
      </xdr:spPr>
    </xdr:pic>
    <xdr:clientData/>
  </xdr:twoCellAnchor>
  <xdr:twoCellAnchor editAs="oneCell">
    <xdr:from>
      <xdr:col>0</xdr:col>
      <xdr:colOff>0</xdr:colOff>
      <xdr:row>0</xdr:row>
      <xdr:rowOff>0</xdr:rowOff>
    </xdr:from>
    <xdr:to>
      <xdr:col>1</xdr:col>
      <xdr:colOff>127440</xdr:colOff>
      <xdr:row>1</xdr:row>
      <xdr:rowOff>247320</xdr:rowOff>
    </xdr:to>
    <xdr:pic>
      <xdr:nvPicPr>
        <xdr:cNvPr id="3" name="image2.png" descr=""/>
        <xdr:cNvPicPr/>
      </xdr:nvPicPr>
      <xdr:blipFill>
        <a:blip r:embed="rId2"/>
        <a:stretch/>
      </xdr:blipFill>
      <xdr:spPr>
        <a:xfrm>
          <a:off x="0" y="0"/>
          <a:ext cx="409320" cy="4568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136800</xdr:colOff>
      <xdr:row>2</xdr:row>
      <xdr:rowOff>9000</xdr:rowOff>
    </xdr:to>
    <xdr:pic>
      <xdr:nvPicPr>
        <xdr:cNvPr id="4" name="image1.png" descr=""/>
        <xdr:cNvPicPr/>
      </xdr:nvPicPr>
      <xdr:blipFill>
        <a:blip r:embed="rId1"/>
        <a:stretch/>
      </xdr:blipFill>
      <xdr:spPr>
        <a:xfrm>
          <a:off x="0" y="0"/>
          <a:ext cx="418680" cy="4662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75600</xdr:colOff>
      <xdr:row>1</xdr:row>
      <xdr:rowOff>275760</xdr:rowOff>
    </xdr:to>
    <xdr:pic>
      <xdr:nvPicPr>
        <xdr:cNvPr id="5" name="image2.png" descr=""/>
        <xdr:cNvPicPr/>
      </xdr:nvPicPr>
      <xdr:blipFill>
        <a:blip r:embed="rId1"/>
        <a:stretch/>
      </xdr:blipFill>
      <xdr:spPr>
        <a:xfrm>
          <a:off x="0" y="0"/>
          <a:ext cx="428400" cy="48528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156240</xdr:colOff>
      <xdr:row>1</xdr:row>
      <xdr:rowOff>275760</xdr:rowOff>
    </xdr:to>
    <xdr:pic>
      <xdr:nvPicPr>
        <xdr:cNvPr id="6" name="image2.png" descr=""/>
        <xdr:cNvPicPr/>
      </xdr:nvPicPr>
      <xdr:blipFill>
        <a:blip r:embed="rId1"/>
        <a:stretch/>
      </xdr:blipFill>
      <xdr:spPr>
        <a:xfrm>
          <a:off x="0" y="0"/>
          <a:ext cx="428400" cy="48528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176400</xdr:colOff>
      <xdr:row>1</xdr:row>
      <xdr:rowOff>275760</xdr:rowOff>
    </xdr:to>
    <xdr:pic>
      <xdr:nvPicPr>
        <xdr:cNvPr id="7" name="image2.png" descr=""/>
        <xdr:cNvPicPr/>
      </xdr:nvPicPr>
      <xdr:blipFill>
        <a:blip r:embed="rId1"/>
        <a:stretch/>
      </xdr:blipFill>
      <xdr:spPr>
        <a:xfrm>
          <a:off x="0" y="0"/>
          <a:ext cx="428400" cy="48528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176400</xdr:colOff>
      <xdr:row>1</xdr:row>
      <xdr:rowOff>285480</xdr:rowOff>
    </xdr:to>
    <xdr:pic>
      <xdr:nvPicPr>
        <xdr:cNvPr id="8" name="image2.png" descr=""/>
        <xdr:cNvPicPr/>
      </xdr:nvPicPr>
      <xdr:blipFill>
        <a:blip r:embed="rId1"/>
        <a:stretch/>
      </xdr:blipFill>
      <xdr:spPr>
        <a:xfrm>
          <a:off x="0" y="0"/>
          <a:ext cx="428400" cy="48528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55800</xdr:colOff>
      <xdr:row>2</xdr:row>
      <xdr:rowOff>85320</xdr:rowOff>
    </xdr:to>
    <xdr:pic>
      <xdr:nvPicPr>
        <xdr:cNvPr id="9" name="image2.png" descr=""/>
        <xdr:cNvPicPr/>
      </xdr:nvPicPr>
      <xdr:blipFill>
        <a:blip r:embed="rId1"/>
        <a:stretch/>
      </xdr:blipFill>
      <xdr:spPr>
        <a:xfrm>
          <a:off x="0" y="0"/>
          <a:ext cx="428400" cy="48528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T_Dept_Data/Academic%20Coordinator%20Folder/ATTE_DATA_IT.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F:/IT_Dept_Data/Academic%20Coordinator%20Folder/ATTE_IT_BE_TH_SAShinde_UE.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Data"/><sheetName val="VM_PO"/><sheetName val="Faculty"/><sheetName val="Student"/><sheetName val="StudSumm"/><sheetName val="Subjects"/><sheetName val="ClassTEMP-"/><sheetName val="SubjectWL-TO CLASS"/><sheetName val="Faculty R&amp;D Stat - TO DEPT INFO"/><sheetName val="FacultyWL - to DEPT_INFO"/><sheetName val="Schedule - TO CLASS"/></sheetNames><sheetDataSet><sheetData sheetId="0"><row r="1"><cell r="A1" t="str"><v>Vidya Pratishthan’s Kamalnayan Bajaj Institute of Engineering & Technology, Baramati</v></cell></row><row r="5"><cell r="D5" t="str"><v>Information Technology</v></cell></row></sheetData><sheetData sheetId="1"></sheetData><sheetData sheetId="2"></sheetData><sheetData sheetId="3"></sheetData><sheetData sheetId="4"></sheetData><sheetData sheetId="5"></sheetData><sheetData sheetId="6"></sheetData><sheetData sheetId="7"></sheetData><sheetData sheetId="8"></sheetData><sheetData sheetId="9"></sheetData><sheetData sheetId="10"></sheetData></sheetDataSet></externalBook></externalLink>
</file>

<file path=xl/externalLinks/externalLink2.xml><?xml version="1.0" encoding="utf-8"?>
<externalLink xmlns="http://schemas.openxmlformats.org/spreadsheetml/2006/main">
  <externalBook xmlns:r="http://schemas.openxmlformats.org/officeDocument/2006/relationships" r:id="rId1">
    <sheetNames>
      <sheetName val="Data"/>
      <sheetName val="Cover"/>
      <sheetName val="VM_PO"/>
      <sheetName val="CO"/>
      <sheetName val="SYL"/>
      <sheetName val="PLAN"/>
      <sheetName val="TH"/>
      <sheetName val="List"/>
      <sheetName val="Student"/>
    </sheetNames>
    <sheetDataSet>
      <sheetData sheetId="0">
        <row r="18">
          <cell r="L18" t="str">
            <v>Dr. R. S. Bichkar</v>
          </cell>
        </row>
      </sheetData>
      <sheetData sheetId="1"/>
      <sheetData sheetId="2"/>
      <sheetData sheetId="3"/>
      <sheetData sheetId="4"/>
      <sheetData sheetId="5"/>
      <sheetData sheetId="6"/>
      <sheetData sheetId="7"/>
      <sheetData sheetId="8"/>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29.57"/>
    <col collapsed="false" customWidth="true" hidden="false" outlineLevel="0" max="15" min="2" style="0" width="8.57"/>
    <col collapsed="false" customWidth="true" hidden="false" outlineLevel="0" max="1025" min="16" style="0" width="14.43"/>
  </cols>
  <sheetData>
    <row r="1" customFormat="false" ht="15.75" hidden="false" customHeight="false" outlineLevel="0" collapsed="false">
      <c r="A1" s="1" t="str">
        <f aca="false">B17</f>
        <v>Vidya Pratishthan’s Kamalnayan Bajaj Institute of Engineering &amp; Technology, Baramati</v>
      </c>
      <c r="B1" s="1"/>
      <c r="C1" s="1"/>
      <c r="D1" s="1"/>
      <c r="E1" s="1"/>
      <c r="F1" s="1"/>
      <c r="G1" s="1"/>
      <c r="H1" s="1"/>
      <c r="I1" s="1"/>
      <c r="J1" s="1"/>
      <c r="K1" s="1"/>
      <c r="L1" s="1"/>
      <c r="M1" s="1"/>
      <c r="N1" s="1"/>
      <c r="O1" s="2"/>
    </row>
    <row r="2" customFormat="false" ht="18" hidden="false" customHeight="false" outlineLevel="0" collapsed="false">
      <c r="A2" s="3" t="s">
        <v>0</v>
      </c>
      <c r="B2" s="3"/>
      <c r="C2" s="3"/>
      <c r="D2" s="3"/>
      <c r="E2" s="3"/>
      <c r="F2" s="3"/>
      <c r="G2" s="3"/>
      <c r="H2" s="3"/>
      <c r="I2" s="3"/>
      <c r="J2" s="3"/>
      <c r="K2" s="3"/>
      <c r="L2" s="3"/>
      <c r="M2" s="3"/>
      <c r="N2" s="3"/>
      <c r="O2" s="4"/>
    </row>
    <row r="3" customFormat="false" ht="18" hidden="false" customHeight="false" outlineLevel="0" collapsed="false">
      <c r="A3" s="4"/>
      <c r="B3" s="4"/>
      <c r="C3" s="4"/>
      <c r="D3" s="4"/>
      <c r="E3" s="4"/>
      <c r="F3" s="4"/>
      <c r="G3" s="4"/>
      <c r="H3" s="4"/>
      <c r="I3" s="5"/>
      <c r="J3" s="5"/>
      <c r="K3" s="5"/>
      <c r="L3" s="5"/>
      <c r="M3" s="5"/>
      <c r="N3" s="5"/>
      <c r="O3" s="5"/>
    </row>
    <row r="4" customFormat="false" ht="18" hidden="false" customHeight="false" outlineLevel="0" collapsed="false">
      <c r="A4" s="4"/>
      <c r="B4" s="4"/>
      <c r="C4" s="4"/>
      <c r="D4" s="4"/>
      <c r="E4" s="4"/>
      <c r="F4" s="4"/>
      <c r="G4" s="4"/>
      <c r="H4" s="4"/>
      <c r="I4" s="5"/>
      <c r="J4" s="5"/>
      <c r="K4" s="5"/>
      <c r="L4" s="5"/>
      <c r="M4" s="6"/>
      <c r="N4" s="6"/>
      <c r="O4" s="6"/>
    </row>
    <row r="5" customFormat="false" ht="20.25" hidden="false" customHeight="true" outlineLevel="0" collapsed="false">
      <c r="A5" s="7" t="s">
        <v>1</v>
      </c>
      <c r="B5" s="8" t="s">
        <v>2</v>
      </c>
      <c r="C5" s="8"/>
      <c r="D5" s="9" t="str">
        <f aca="false">HLOOKUP(B5, B20:H21, 2, 0)</f>
        <v>Information Technology</v>
      </c>
      <c r="E5" s="9"/>
      <c r="F5" s="9"/>
      <c r="G5" s="9"/>
      <c r="H5" s="9"/>
      <c r="I5" s="9"/>
      <c r="M5" s="6"/>
      <c r="N5" s="6"/>
      <c r="O5" s="6"/>
    </row>
    <row r="6" customFormat="false" ht="20.25" hidden="false" customHeight="true" outlineLevel="0" collapsed="false">
      <c r="A6" s="7" t="s">
        <v>3</v>
      </c>
      <c r="B6" s="10" t="s">
        <v>4</v>
      </c>
      <c r="C6" s="10"/>
      <c r="D6" s="11"/>
      <c r="E6" s="11"/>
      <c r="F6" s="11"/>
      <c r="G6" s="11"/>
      <c r="H6" s="11"/>
      <c r="I6" s="11"/>
      <c r="M6" s="5"/>
      <c r="N6" s="5"/>
      <c r="O6" s="5"/>
    </row>
    <row r="7" customFormat="false" ht="20.25" hidden="false" customHeight="true" outlineLevel="0" collapsed="false">
      <c r="A7" s="7" t="s">
        <v>5</v>
      </c>
      <c r="B7" s="12"/>
      <c r="C7" s="12"/>
      <c r="D7" s="5"/>
      <c r="E7" s="13"/>
      <c r="F7" s="13"/>
      <c r="G7" s="13"/>
      <c r="L7" s="14"/>
      <c r="M7" s="14"/>
      <c r="N7" s="14"/>
      <c r="O7" s="14"/>
    </row>
    <row r="8" customFormat="false" ht="20.25" hidden="false" customHeight="true" outlineLevel="0" collapsed="false">
      <c r="A8" s="7" t="s">
        <v>6</v>
      </c>
      <c r="B8" s="15" t="s">
        <v>7</v>
      </c>
      <c r="C8" s="15"/>
      <c r="D8" s="15"/>
      <c r="E8" s="15"/>
      <c r="F8" s="15"/>
      <c r="G8" s="15"/>
      <c r="H8" s="16"/>
      <c r="I8" s="16"/>
      <c r="J8" s="17" t="s">
        <v>8</v>
      </c>
      <c r="K8" s="14"/>
      <c r="L8" s="14"/>
      <c r="M8" s="14"/>
      <c r="N8" s="14"/>
      <c r="O8" s="14"/>
    </row>
    <row r="9" customFormat="false" ht="39.75" hidden="false" customHeight="true" outlineLevel="0" collapsed="false">
      <c r="A9" s="7" t="s">
        <v>9</v>
      </c>
      <c r="B9" s="15" t="s">
        <v>10</v>
      </c>
      <c r="C9" s="15"/>
      <c r="D9" s="15"/>
      <c r="E9" s="15"/>
      <c r="F9" s="15"/>
      <c r="G9" s="15"/>
      <c r="H9" s="18" t="n">
        <v>214445</v>
      </c>
      <c r="I9" s="18" t="s">
        <v>11</v>
      </c>
      <c r="J9" s="19" t="n">
        <v>4</v>
      </c>
      <c r="K9" s="20"/>
      <c r="L9" s="20"/>
      <c r="M9" s="20"/>
      <c r="N9" s="20"/>
      <c r="O9" s="20"/>
    </row>
    <row r="10" customFormat="false" ht="20.25" hidden="false" customHeight="true" outlineLevel="0" collapsed="false">
      <c r="A10" s="21"/>
      <c r="B10" s="22"/>
      <c r="C10" s="22"/>
      <c r="D10" s="22"/>
      <c r="E10" s="22"/>
      <c r="F10" s="22"/>
      <c r="G10" s="22"/>
      <c r="H10" s="23"/>
      <c r="I10" s="23"/>
      <c r="J10" s="24"/>
      <c r="K10" s="23"/>
      <c r="L10" s="23"/>
      <c r="M10" s="23"/>
      <c r="N10" s="23"/>
      <c r="O10" s="23"/>
    </row>
    <row r="11" customFormat="false" ht="20.25" hidden="false" customHeight="true" outlineLevel="0" collapsed="false">
      <c r="A11" s="21"/>
      <c r="B11" s="22"/>
      <c r="C11" s="22"/>
      <c r="D11" s="22"/>
      <c r="E11" s="22"/>
      <c r="F11" s="22"/>
      <c r="G11" s="22"/>
      <c r="H11" s="23"/>
      <c r="I11" s="23"/>
      <c r="J11" s="24"/>
      <c r="K11" s="25"/>
      <c r="L11" s="25"/>
      <c r="M11" s="25"/>
      <c r="N11" s="25"/>
      <c r="O11" s="25"/>
    </row>
    <row r="12" customFormat="false" ht="20.25" hidden="false" customHeight="true" outlineLevel="0" collapsed="false">
      <c r="A12" s="21"/>
      <c r="B12" s="22"/>
      <c r="C12" s="22"/>
      <c r="D12" s="22"/>
      <c r="E12" s="22"/>
      <c r="F12" s="22"/>
      <c r="G12" s="22"/>
      <c r="H12" s="23"/>
      <c r="I12" s="23"/>
      <c r="J12" s="24"/>
      <c r="K12" s="25"/>
      <c r="L12" s="25"/>
      <c r="M12" s="25"/>
      <c r="N12" s="25"/>
      <c r="O12" s="25"/>
    </row>
    <row r="13" customFormat="false" ht="20.25" hidden="true" customHeight="true" outlineLevel="0" collapsed="false">
      <c r="A13" s="21"/>
      <c r="B13" s="22"/>
      <c r="C13" s="22"/>
      <c r="D13" s="22"/>
      <c r="E13" s="22"/>
      <c r="F13" s="22"/>
      <c r="G13" s="22"/>
      <c r="H13" s="23"/>
      <c r="I13" s="23"/>
      <c r="J13" s="24"/>
      <c r="K13" s="25"/>
      <c r="L13" s="25"/>
      <c r="M13" s="25"/>
      <c r="N13" s="25"/>
      <c r="O13" s="25"/>
    </row>
    <row r="14" customFormat="false" ht="20.25" hidden="true" customHeight="true" outlineLevel="0" collapsed="false">
      <c r="A14" s="21"/>
      <c r="B14" s="22"/>
      <c r="C14" s="22"/>
      <c r="D14" s="22"/>
      <c r="E14" s="22"/>
      <c r="F14" s="22"/>
      <c r="G14" s="22"/>
      <c r="H14" s="23"/>
      <c r="I14" s="23"/>
      <c r="J14" s="24"/>
      <c r="K14" s="25"/>
      <c r="L14" s="25"/>
      <c r="M14" s="25"/>
      <c r="N14" s="25"/>
      <c r="O14" s="25"/>
    </row>
    <row r="15" customFormat="false" ht="14.25" hidden="true" customHeight="false" outlineLevel="0" collapsed="false">
      <c r="A15" s="26"/>
      <c r="B15" s="26"/>
      <c r="C15" s="26"/>
      <c r="D15" s="26"/>
      <c r="E15" s="26"/>
      <c r="F15" s="26"/>
      <c r="G15" s="26"/>
      <c r="H15" s="27"/>
      <c r="I15" s="27"/>
      <c r="J15" s="24"/>
      <c r="K15" s="26"/>
      <c r="L15" s="26"/>
      <c r="M15" s="26"/>
      <c r="N15" s="26"/>
      <c r="O15" s="26"/>
    </row>
    <row r="16" customFormat="false" ht="15" hidden="true" customHeight="false" outlineLevel="0" collapsed="false">
      <c r="A16" s="28" t="str">
        <f aca="false">IFERROR(__xludf.dummyfunction("importrange(""https://docs.google.com/spreadsheets/d/16tI-_4Fp0j9FT531CafPbVPgmsnzTSMdXqaP5tMqbJQ/edit"", ""Data!"" &amp; ""A$11:O$43"")"),"INSTITUTE MASTER DATA:")</f>
        <v>INSTITUTE MASTER DATA:</v>
      </c>
      <c r="B16" s="29" t="str">
        <f aca="false">IFERROR(__xludf.dummyfunction("""COMPUTED_VALUE"""),"")</f>
        <v/>
      </c>
      <c r="C16" s="29" t="str">
        <f aca="false">IFERROR(__xludf.dummyfunction("""COMPUTED_VALUE"""),"")</f>
        <v/>
      </c>
      <c r="D16" s="29" t="str">
        <f aca="false">IFERROR(__xludf.dummyfunction("""COMPUTED_VALUE"""),"")</f>
        <v/>
      </c>
      <c r="E16" s="29" t="str">
        <f aca="false">IFERROR(__xludf.dummyfunction("""COMPUTED_VALUE"""),"")</f>
        <v/>
      </c>
      <c r="F16" s="29" t="str">
        <f aca="false">IFERROR(__xludf.dummyfunction("""COMPUTED_VALUE"""),"")</f>
        <v/>
      </c>
      <c r="G16" s="29" t="str">
        <f aca="false">IFERROR(__xludf.dummyfunction("""COMPUTED_VALUE"""),"")</f>
        <v/>
      </c>
      <c r="H16" s="29" t="str">
        <f aca="false">IFERROR(__xludf.dummyfunction("""COMPUTED_VALUE"""),"")</f>
        <v/>
      </c>
      <c r="I16" s="29" t="str">
        <f aca="false">IFERROR(__xludf.dummyfunction("""COMPUTED_VALUE"""),"")</f>
        <v/>
      </c>
      <c r="J16" s="26" t="str">
        <f aca="false">IFERROR(__xludf.dummyfunction("""COMPUTED_VALUE"""),"")</f>
        <v/>
      </c>
      <c r="K16" s="26" t="str">
        <f aca="false">IFERROR(__xludf.dummyfunction("""COMPUTED_VALUE"""),"")</f>
        <v/>
      </c>
      <c r="L16" s="26" t="str">
        <f aca="false">IFERROR(__xludf.dummyfunction("""COMPUTED_VALUE"""),"")</f>
        <v/>
      </c>
      <c r="M16" s="26" t="str">
        <f aca="false">IFERROR(__xludf.dummyfunction("""COMPUTED_VALUE"""),"")</f>
        <v/>
      </c>
      <c r="N16" s="26" t="str">
        <f aca="false">IFERROR(__xludf.dummyfunction("""COMPUTED_VALUE"""),"")</f>
        <v/>
      </c>
      <c r="O16" s="26" t="str">
        <f aca="false">IFERROR(__xludf.dummyfunction("""COMPUTED_VALUE"""),"")</f>
        <v/>
      </c>
    </row>
    <row r="17" customFormat="false" ht="12.75" hidden="true" customHeight="false" outlineLevel="0" collapsed="false">
      <c r="A17" s="30" t="str">
        <f aca="false">IFERROR(__xludf.dummyfunction("""COMPUTED_VALUE"""),"Institute Name:")</f>
        <v>Institute Name:</v>
      </c>
      <c r="B17" s="31" t="str">
        <f aca="false">IFERROR(__xludf.dummyfunction("""COMPUTED_VALUE"""),"Vidya Pratishthan’s Kamalnayan Bajaj Institute of Engineering &amp; Technology, Baramati")</f>
        <v>Vidya Pratishthan’s Kamalnayan Bajaj Institute of Engineering &amp; Technology, Baramati</v>
      </c>
      <c r="C17" s="31"/>
      <c r="D17" s="31"/>
      <c r="E17" s="31"/>
      <c r="F17" s="31"/>
      <c r="G17" s="31"/>
      <c r="H17" s="31"/>
      <c r="I17" s="31"/>
      <c r="J17" s="31"/>
      <c r="K17" s="31"/>
      <c r="L17" s="31"/>
      <c r="M17" s="31"/>
      <c r="N17" s="31"/>
      <c r="O17" s="31"/>
    </row>
    <row r="18" customFormat="false" ht="12.75" hidden="true" customHeight="false" outlineLevel="0" collapsed="false">
      <c r="A18" s="30" t="str">
        <f aca="false">IFERROR(__xludf.dummyfunction("""COMPUTED_VALUE"""),"Academic Year:")</f>
        <v>Academic Year:</v>
      </c>
      <c r="B18" s="32" t="str">
        <f aca="false">IFERROR(__xludf.dummyfunction("""COMPUTED_VALUE"""),"2019-20")</f>
        <v>2019-20</v>
      </c>
      <c r="C18" s="32"/>
      <c r="D18" s="33" t="str">
        <f aca="false">IFERROR(__xludf.dummyfunction("""COMPUTED_VALUE"""),"")</f>
        <v/>
      </c>
      <c r="E18" s="33" t="str">
        <f aca="false">IFERROR(__xludf.dummyfunction("""COMPUTED_VALUE"""),"")</f>
        <v/>
      </c>
      <c r="F18" s="33" t="str">
        <f aca="false">IFERROR(__xludf.dummyfunction("""COMPUTED_VALUE"""),"")</f>
        <v/>
      </c>
      <c r="G18" s="33" t="str">
        <f aca="false">IFERROR(__xludf.dummyfunction("""COMPUTED_VALUE"""),"")</f>
        <v/>
      </c>
      <c r="H18" s="33" t="str">
        <f aca="false">IFERROR(__xludf.dummyfunction("""COMPUTED_VALUE"""),"")</f>
        <v/>
      </c>
      <c r="I18" s="33" t="str">
        <f aca="false">IFERROR(__xludf.dummyfunction("""COMPUTED_VALUE"""),"")</f>
        <v/>
      </c>
      <c r="J18" s="34" t="str">
        <f aca="false">IFERROR(__xludf.dummyfunction("""COMPUTED_VALUE"""),"Principal:")</f>
        <v>Principal:</v>
      </c>
      <c r="K18" s="34"/>
      <c r="L18" s="35" t="str">
        <f aca="false">IFERROR(__xludf.dummyfunction("""COMPUTED_VALUE"""),"Dr. R. S. Bichkar")</f>
        <v>Dr. R. S. Bichkar</v>
      </c>
      <c r="M18" s="35"/>
      <c r="N18" s="35"/>
      <c r="O18" s="35"/>
    </row>
    <row r="19" customFormat="false" ht="12.75" hidden="true" customHeight="false" outlineLevel="0" collapsed="false">
      <c r="A19" s="30" t="str">
        <f aca="false">IFERROR(__xludf.dummyfunction("""COMPUTED_VALUE"""),"Semester:")</f>
        <v>Semester:</v>
      </c>
      <c r="B19" s="36" t="str">
        <f aca="false">IFERROR(__xludf.dummyfunction("""COMPUTED_VALUE"""),"First")</f>
        <v>First</v>
      </c>
      <c r="C19" s="36"/>
      <c r="D19" s="37" t="str">
        <f aca="false">IFERROR(__xludf.dummyfunction("""COMPUTED_VALUE"""),"")</f>
        <v/>
      </c>
      <c r="E19" s="37" t="str">
        <f aca="false">IFERROR(__xludf.dummyfunction("""COMPUTED_VALUE"""),"")</f>
        <v/>
      </c>
      <c r="F19" s="37" t="str">
        <f aca="false">IFERROR(__xludf.dummyfunction("""COMPUTED_VALUE"""),"")</f>
        <v/>
      </c>
      <c r="G19" s="37" t="str">
        <f aca="false">IFERROR(__xludf.dummyfunction("""COMPUTED_VALUE"""),"")</f>
        <v/>
      </c>
      <c r="H19" s="37" t="str">
        <f aca="false">IFERROR(__xludf.dummyfunction("""COMPUTED_VALUE"""),"")</f>
        <v/>
      </c>
      <c r="I19" s="33" t="str">
        <f aca="false">IFERROR(__xludf.dummyfunction("""COMPUTED_VALUE"""),"")</f>
        <v/>
      </c>
      <c r="J19" s="33" t="str">
        <f aca="false">IFERROR(__xludf.dummyfunction("""COMPUTED_VALUE"""),"")</f>
        <v/>
      </c>
      <c r="K19" s="33" t="str">
        <f aca="false">IFERROR(__xludf.dummyfunction("""COMPUTED_VALUE"""),"")</f>
        <v/>
      </c>
      <c r="L19" s="33" t="str">
        <f aca="false">IFERROR(__xludf.dummyfunction("""COMPUTED_VALUE"""),"")</f>
        <v/>
      </c>
      <c r="M19" s="33" t="str">
        <f aca="false">IFERROR(__xludf.dummyfunction("""COMPUTED_VALUE"""),"")</f>
        <v/>
      </c>
      <c r="N19" s="33" t="str">
        <f aca="false">IFERROR(__xludf.dummyfunction("""COMPUTED_VALUE"""),"")</f>
        <v/>
      </c>
      <c r="O19" s="33" t="str">
        <f aca="false">IFERROR(__xludf.dummyfunction("""COMPUTED_VALUE"""),"")</f>
        <v/>
      </c>
    </row>
    <row r="20" customFormat="false" ht="12.75" hidden="true" customHeight="false" outlineLevel="0" collapsed="false">
      <c r="A20" s="30" t="str">
        <f aca="false">IFERROR(__xludf.dummyfunction("""COMPUTED_VALUE"""),"Departments:")</f>
        <v>Departments:</v>
      </c>
      <c r="B20" s="38" t="str">
        <f aca="false">IFERROR(__xludf.dummyfunction("""COMPUTED_VALUE"""),"COMP")</f>
        <v>COMP</v>
      </c>
      <c r="C20" s="38" t="str">
        <f aca="false">IFERROR(__xludf.dummyfunction("""COMPUTED_VALUE"""),"IT")</f>
        <v>IT</v>
      </c>
      <c r="D20" s="39" t="str">
        <f aca="false">IFERROR(__xludf.dummyfunction("""COMPUTED_VALUE"""),"ENTC")</f>
        <v>ENTC</v>
      </c>
      <c r="E20" s="39" t="str">
        <f aca="false">IFERROR(__xludf.dummyfunction("""COMPUTED_VALUE"""),"CIVIL")</f>
        <v>CIVIL</v>
      </c>
      <c r="F20" s="39" t="str">
        <f aca="false">IFERROR(__xludf.dummyfunction("""COMPUTED_VALUE"""),"MECH")</f>
        <v>MECH</v>
      </c>
      <c r="G20" s="39" t="str">
        <f aca="false">IFERROR(__xludf.dummyfunction("""COMPUTED_VALUE"""),"ELEC")</f>
        <v>ELEC</v>
      </c>
      <c r="H20" s="39" t="str">
        <f aca="false">IFERROR(__xludf.dummyfunction("""COMPUTED_VALUE"""),"FE")</f>
        <v>FE</v>
      </c>
      <c r="I20" s="33" t="str">
        <f aca="false">IFERROR(__xludf.dummyfunction("""COMPUTED_VALUE"""),"")</f>
        <v/>
      </c>
      <c r="J20" s="33" t="str">
        <f aca="false">IFERROR(__xludf.dummyfunction("""COMPUTED_VALUE"""),"")</f>
        <v/>
      </c>
      <c r="K20" s="33" t="str">
        <f aca="false">IFERROR(__xludf.dummyfunction("""COMPUTED_VALUE"""),"")</f>
        <v/>
      </c>
      <c r="L20" s="33" t="str">
        <f aca="false">IFERROR(__xludf.dummyfunction("""COMPUTED_VALUE"""),"")</f>
        <v/>
      </c>
      <c r="M20" s="33" t="str">
        <f aca="false">IFERROR(__xludf.dummyfunction("""COMPUTED_VALUE"""),"")</f>
        <v/>
      </c>
      <c r="N20" s="33" t="str">
        <f aca="false">IFERROR(__xludf.dummyfunction("""COMPUTED_VALUE"""),"")</f>
        <v/>
      </c>
      <c r="O20" s="33" t="str">
        <f aca="false">IFERROR(__xludf.dummyfunction("""COMPUTED_VALUE"""),"")</f>
        <v/>
      </c>
    </row>
    <row r="21" customFormat="false" ht="99.75" hidden="true" customHeight="true" outlineLevel="0" collapsed="false">
      <c r="A21" s="30" t="str">
        <f aca="false">IFERROR(__xludf.dummyfunction("""COMPUTED_VALUE"""),"Department Names:")</f>
        <v>Department Names:</v>
      </c>
      <c r="B21" s="40" t="str">
        <f aca="false">IFERROR(__xludf.dummyfunction("""COMPUTED_VALUE"""),"Computer Engineering")</f>
        <v>Computer Engineering</v>
      </c>
      <c r="C21" s="40" t="str">
        <f aca="false">IFERROR(__xludf.dummyfunction("""COMPUTED_VALUE"""),"Information Technology")</f>
        <v>Information Technology</v>
      </c>
      <c r="D21" s="41" t="str">
        <f aca="false">IFERROR(__xludf.dummyfunction("""COMPUTED_VALUE"""),"Electronics &amp; Telecommunication Engineering")</f>
        <v>Electronics &amp; Telecommunication Engineering</v>
      </c>
      <c r="E21" s="41" t="str">
        <f aca="false">IFERROR(__xludf.dummyfunction("""COMPUTED_VALUE"""),"Civil Engineering")</f>
        <v>Civil Engineering</v>
      </c>
      <c r="F21" s="41" t="str">
        <f aca="false">IFERROR(__xludf.dummyfunction("""COMPUTED_VALUE"""),"Mechanical Engineering")</f>
        <v>Mechanical Engineering</v>
      </c>
      <c r="G21" s="41" t="str">
        <f aca="false">IFERROR(__xludf.dummyfunction("""COMPUTED_VALUE"""),"Electrical Engineering")</f>
        <v>Electrical Engineering</v>
      </c>
      <c r="H21" s="41" t="str">
        <f aca="false">IFERROR(__xludf.dummyfunction("""COMPUTED_VALUE"""),"First Year Enginnering")</f>
        <v>First Year Enginnering</v>
      </c>
      <c r="I21" s="33" t="str">
        <f aca="false">IFERROR(__xludf.dummyfunction("""COMPUTED_VALUE"""),"")</f>
        <v/>
      </c>
      <c r="J21" s="33" t="str">
        <f aca="false">IFERROR(__xludf.dummyfunction("""COMPUTED_VALUE"""),"")</f>
        <v/>
      </c>
      <c r="K21" s="33" t="str">
        <f aca="false">IFERROR(__xludf.dummyfunction("""COMPUTED_VALUE"""),"")</f>
        <v/>
      </c>
      <c r="L21" s="33" t="str">
        <f aca="false">IFERROR(__xludf.dummyfunction("""COMPUTED_VALUE"""),"")</f>
        <v/>
      </c>
      <c r="M21" s="33" t="str">
        <f aca="false">IFERROR(__xludf.dummyfunction("""COMPUTED_VALUE"""),"")</f>
        <v/>
      </c>
      <c r="N21" s="33" t="str">
        <f aca="false">IFERROR(__xludf.dummyfunction("""COMPUTED_VALUE"""),"")</f>
        <v/>
      </c>
      <c r="O21" s="33" t="str">
        <f aca="false">IFERROR(__xludf.dummyfunction("""COMPUTED_VALUE"""),"")</f>
        <v/>
      </c>
    </row>
    <row r="22" customFormat="false" ht="12.75" hidden="true" customHeight="false" outlineLevel="0" collapsed="false">
      <c r="A22" s="30" t="str">
        <f aca="false">IFERROR(__xludf.dummyfunction("""COMPUTED_VALUE"""),"No of UG Classes:")</f>
        <v>No of UG Classes:</v>
      </c>
      <c r="B22" s="38" t="n">
        <f aca="false">IFERROR(__xludf.dummyfunction("""COMPUTED_VALUE"""),3)</f>
        <v>3</v>
      </c>
      <c r="C22" s="38" t="n">
        <f aca="false">IFERROR(__xludf.dummyfunction("""COMPUTED_VALUE"""),3)</f>
        <v>3</v>
      </c>
      <c r="D22" s="39" t="n">
        <f aca="false">IFERROR(__xludf.dummyfunction("""COMPUTED_VALUE"""),6)</f>
        <v>6</v>
      </c>
      <c r="E22" s="39" t="n">
        <f aca="false">IFERROR(__xludf.dummyfunction("""COMPUTED_VALUE"""),3)</f>
        <v>3</v>
      </c>
      <c r="F22" s="39" t="n">
        <f aca="false">IFERROR(__xludf.dummyfunction("""COMPUTED_VALUE"""),3)</f>
        <v>3</v>
      </c>
      <c r="G22" s="39" t="n">
        <f aca="false">IFERROR(__xludf.dummyfunction("""COMPUTED_VALUE"""),3)</f>
        <v>3</v>
      </c>
      <c r="H22" s="39" t="n">
        <f aca="false">IFERROR(__xludf.dummyfunction("""COMPUTED_VALUE"""),6)</f>
        <v>6</v>
      </c>
      <c r="I22" s="33" t="str">
        <f aca="false">IFERROR(__xludf.dummyfunction("""COMPUTED_VALUE"""),"")</f>
        <v/>
      </c>
      <c r="J22" s="33" t="str">
        <f aca="false">IFERROR(__xludf.dummyfunction("""COMPUTED_VALUE"""),"")</f>
        <v/>
      </c>
      <c r="K22" s="33" t="str">
        <f aca="false">IFERROR(__xludf.dummyfunction("""COMPUTED_VALUE"""),"")</f>
        <v/>
      </c>
      <c r="L22" s="33" t="str">
        <f aca="false">IFERROR(__xludf.dummyfunction("""COMPUTED_VALUE"""),"")</f>
        <v/>
      </c>
      <c r="M22" s="33" t="str">
        <f aca="false">IFERROR(__xludf.dummyfunction("""COMPUTED_VALUE"""),"")</f>
        <v/>
      </c>
      <c r="N22" s="33" t="str">
        <f aca="false">IFERROR(__xludf.dummyfunction("""COMPUTED_VALUE"""),"")</f>
        <v/>
      </c>
      <c r="O22" s="33" t="str">
        <f aca="false">IFERROR(__xludf.dummyfunction("""COMPUTED_VALUE"""),"")</f>
        <v/>
      </c>
    </row>
    <row r="23" customFormat="false" ht="12.75" hidden="true" customHeight="false" outlineLevel="0" collapsed="false">
      <c r="A23" s="42" t="str">
        <f aca="false">IFERROR(__xludf.dummyfunction("""COMPUTED_VALUE"""),"No of PG Classes:")</f>
        <v>No of PG Classes:</v>
      </c>
      <c r="B23" s="38" t="n">
        <f aca="false">IFERROR(__xludf.dummyfunction("""COMPUTED_VALUE"""),2)</f>
        <v>2</v>
      </c>
      <c r="C23" s="38" t="n">
        <f aca="false">IFERROR(__xludf.dummyfunction("""COMPUTED_VALUE"""),0)</f>
        <v>0</v>
      </c>
      <c r="D23" s="39" t="n">
        <f aca="false">IFERROR(__xludf.dummyfunction("""COMPUTED_VALUE"""),2)</f>
        <v>2</v>
      </c>
      <c r="E23" s="39" t="n">
        <f aca="false">IFERROR(__xludf.dummyfunction("""COMPUTED_VALUE"""),2)</f>
        <v>2</v>
      </c>
      <c r="F23" s="39" t="n">
        <f aca="false">IFERROR(__xludf.dummyfunction("""COMPUTED_VALUE"""),4)</f>
        <v>4</v>
      </c>
      <c r="G23" s="39" t="n">
        <f aca="false">IFERROR(__xludf.dummyfunction("""COMPUTED_VALUE"""),0)</f>
        <v>0</v>
      </c>
      <c r="H23" s="39" t="n">
        <f aca="false">IFERROR(__xludf.dummyfunction("""COMPUTED_VALUE"""),0)</f>
        <v>0</v>
      </c>
      <c r="I23" s="33" t="str">
        <f aca="false">IFERROR(__xludf.dummyfunction("""COMPUTED_VALUE"""),"")</f>
        <v/>
      </c>
      <c r="J23" s="33" t="str">
        <f aca="false">IFERROR(__xludf.dummyfunction("""COMPUTED_VALUE"""),"")</f>
        <v/>
      </c>
      <c r="K23" s="33" t="str">
        <f aca="false">IFERROR(__xludf.dummyfunction("""COMPUTED_VALUE"""),"")</f>
        <v/>
      </c>
      <c r="L23" s="33" t="str">
        <f aca="false">IFERROR(__xludf.dummyfunction("""COMPUTED_VALUE"""),"")</f>
        <v/>
      </c>
      <c r="M23" s="33" t="str">
        <f aca="false">IFERROR(__xludf.dummyfunction("""COMPUTED_VALUE"""),"")</f>
        <v/>
      </c>
      <c r="N23" s="33" t="str">
        <f aca="false">IFERROR(__xludf.dummyfunction("""COMPUTED_VALUE"""),"")</f>
        <v/>
      </c>
      <c r="O23" s="33" t="str">
        <f aca="false">IFERROR(__xludf.dummyfunction("""COMPUTED_VALUE"""),"")</f>
        <v/>
      </c>
    </row>
    <row r="24" customFormat="false" ht="12.75" hidden="true" customHeight="false" outlineLevel="0" collapsed="false">
      <c r="A24" s="42" t="str">
        <f aca="false">IFERROR(__xludf.dummyfunction("""COMPUTED_VALUE"""),"Classe Names:")</f>
        <v>Classe Names:</v>
      </c>
      <c r="B24" s="38" t="str">
        <f aca="false">IFERROR(__xludf.dummyfunction("""COMPUTED_VALUE"""),"FE")</f>
        <v>FE</v>
      </c>
      <c r="C24" s="38" t="str">
        <f aca="false">IFERROR(__xludf.dummyfunction("""COMPUTED_VALUE"""),"SE")</f>
        <v>SE</v>
      </c>
      <c r="D24" s="39" t="str">
        <f aca="false">IFERROR(__xludf.dummyfunction("""COMPUTED_VALUE"""),"TE")</f>
        <v>TE</v>
      </c>
      <c r="E24" s="39" t="str">
        <f aca="false">IFERROR(__xludf.dummyfunction("""COMPUTED_VALUE"""),"BE")</f>
        <v>BE</v>
      </c>
      <c r="F24" s="39" t="str">
        <f aca="false">IFERROR(__xludf.dummyfunction("""COMPUTED_VALUE"""),"ME-I")</f>
        <v>ME-I</v>
      </c>
      <c r="G24" s="39" t="str">
        <f aca="false">IFERROR(__xludf.dummyfunction("""COMPUTED_VALUE"""),"ME-II")</f>
        <v>ME-II</v>
      </c>
      <c r="H24" s="43" t="str">
        <f aca="false">IFERROR(__xludf.dummyfunction("""COMPUTED_VALUE"""),"FE-I")</f>
        <v>FE-I</v>
      </c>
      <c r="I24" s="37" t="str">
        <f aca="false">IFERROR(__xludf.dummyfunction("""COMPUTED_VALUE"""),"FE-II")</f>
        <v>FE-II</v>
      </c>
      <c r="J24" s="37" t="str">
        <f aca="false">IFERROR(__xludf.dummyfunction("""COMPUTED_VALUE"""),"FE-III")</f>
        <v>FE-III</v>
      </c>
      <c r="K24" s="37" t="str">
        <f aca="false">IFERROR(__xludf.dummyfunction("""COMPUTED_VALUE"""),"FE-IV")</f>
        <v>FE-IV</v>
      </c>
      <c r="L24" s="33" t="str">
        <f aca="false">IFERROR(__xludf.dummyfunction("""COMPUTED_VALUE"""),"FE-V")</f>
        <v>FE-V</v>
      </c>
      <c r="M24" s="33" t="str">
        <f aca="false">IFERROR(__xludf.dummyfunction("""COMPUTED_VALUE"""),"FE-VI")</f>
        <v>FE-VI</v>
      </c>
      <c r="N24" s="33" t="str">
        <f aca="false">IFERROR(__xludf.dummyfunction("""COMPUTED_VALUE"""),"FE-VII")</f>
        <v>FE-VII</v>
      </c>
      <c r="O24" s="33" t="str">
        <f aca="false">IFERROR(__xludf.dummyfunction("""COMPUTED_VALUE"""),"FE-VIII")</f>
        <v>FE-VIII</v>
      </c>
    </row>
    <row r="25" customFormat="false" ht="12.75" hidden="true" customHeight="false" outlineLevel="0" collapsed="false">
      <c r="A25" s="42" t="str">
        <f aca="false">IFERROR(__xludf.dummyfunction("""COMPUTED_VALUE"""),"Division Names:")</f>
        <v>Division Names:</v>
      </c>
      <c r="B25" s="38" t="str">
        <f aca="false">IFERROR(__xludf.dummyfunction("""COMPUTED_VALUE"""),"A")</f>
        <v>A</v>
      </c>
      <c r="C25" s="38" t="str">
        <f aca="false">IFERROR(__xludf.dummyfunction("""COMPUTED_VALUE"""),"B")</f>
        <v>B</v>
      </c>
      <c r="D25" s="38" t="str">
        <f aca="false">IFERROR(__xludf.dummyfunction("""COMPUTED_VALUE"""),"I")</f>
        <v>I</v>
      </c>
      <c r="E25" s="38" t="str">
        <f aca="false">IFERROR(__xludf.dummyfunction("""COMPUTED_VALUE"""),"II")</f>
        <v>II</v>
      </c>
      <c r="F25" s="38" t="str">
        <f aca="false">IFERROR(__xludf.dummyfunction("""COMPUTED_VALUE"""),"III")</f>
        <v>III</v>
      </c>
      <c r="G25" s="38" t="str">
        <f aca="false">IFERROR(__xludf.dummyfunction("""COMPUTED_VALUE"""),"IV")</f>
        <v>IV</v>
      </c>
      <c r="H25" s="38" t="str">
        <f aca="false">IFERROR(__xludf.dummyfunction("""COMPUTED_VALUE"""),"V")</f>
        <v>V</v>
      </c>
      <c r="I25" s="38" t="str">
        <f aca="false">IFERROR(__xludf.dummyfunction("""COMPUTED_VALUE"""),"VI")</f>
        <v>VI</v>
      </c>
      <c r="J25" s="38" t="str">
        <f aca="false">IFERROR(__xludf.dummyfunction("""COMPUTED_VALUE"""),"VII")</f>
        <v>VII</v>
      </c>
      <c r="K25" s="38" t="str">
        <f aca="false">IFERROR(__xludf.dummyfunction("""COMPUTED_VALUE"""),"VIII")</f>
        <v>VIII</v>
      </c>
      <c r="L25" s="33" t="str">
        <f aca="false">IFERROR(__xludf.dummyfunction("""COMPUTED_VALUE"""),"")</f>
        <v/>
      </c>
      <c r="M25" s="33" t="str">
        <f aca="false">IFERROR(__xludf.dummyfunction("""COMPUTED_VALUE"""),"")</f>
        <v/>
      </c>
      <c r="N25" s="33" t="str">
        <f aca="false">IFERROR(__xludf.dummyfunction("""COMPUTED_VALUE"""),"")</f>
        <v/>
      </c>
      <c r="O25" s="33" t="str">
        <f aca="false">IFERROR(__xludf.dummyfunction("""COMPUTED_VALUE"""),"")</f>
        <v/>
      </c>
    </row>
    <row r="26" customFormat="false" ht="12.75" hidden="true" customHeight="false" outlineLevel="0" collapsed="false">
      <c r="A26" s="42" t="str">
        <f aca="false">IFERROR(__xludf.dummyfunction("""COMPUTED_VALUE"""),"Max Stud in TH &amp; PR Atte Sheet:")</f>
        <v>Max Stud in TH &amp; PR Atte Sheet:</v>
      </c>
      <c r="B26" s="38" t="n">
        <f aca="false">IFERROR(__xludf.dummyfunction("""COMPUTED_VALUE"""),88)</f>
        <v>88</v>
      </c>
      <c r="C26" s="38" t="n">
        <f aca="false">IFERROR(__xludf.dummyfunction("""COMPUTED_VALUE"""),22)</f>
        <v>22</v>
      </c>
      <c r="D26" s="33" t="str">
        <f aca="false">IFERROR(__xludf.dummyfunction("""COMPUTED_VALUE"""),"")</f>
        <v/>
      </c>
      <c r="E26" s="33" t="str">
        <f aca="false">IFERROR(__xludf.dummyfunction("""COMPUTED_VALUE"""),"")</f>
        <v/>
      </c>
      <c r="F26" s="33" t="str">
        <f aca="false">IFERROR(__xludf.dummyfunction("""COMPUTED_VALUE"""),"")</f>
        <v/>
      </c>
      <c r="G26" s="33" t="str">
        <f aca="false">IFERROR(__xludf.dummyfunction("""COMPUTED_VALUE"""),"")</f>
        <v/>
      </c>
      <c r="H26" s="33" t="str">
        <f aca="false">IFERROR(__xludf.dummyfunction("""COMPUTED_VALUE"""),"")</f>
        <v/>
      </c>
      <c r="I26" s="33" t="str">
        <f aca="false">IFERROR(__xludf.dummyfunction("""COMPUTED_VALUE"""),"")</f>
        <v/>
      </c>
      <c r="J26" s="33" t="str">
        <f aca="false">IFERROR(__xludf.dummyfunction("""COMPUTED_VALUE"""),"")</f>
        <v/>
      </c>
      <c r="K26" s="33" t="str">
        <f aca="false">IFERROR(__xludf.dummyfunction("""COMPUTED_VALUE"""),"")</f>
        <v/>
      </c>
      <c r="L26" s="33" t="str">
        <f aca="false">IFERROR(__xludf.dummyfunction("""COMPUTED_VALUE"""),"")</f>
        <v/>
      </c>
      <c r="M26" s="33" t="str">
        <f aca="false">IFERROR(__xludf.dummyfunction("""COMPUTED_VALUE"""),"")</f>
        <v/>
      </c>
      <c r="N26" s="33" t="str">
        <f aca="false">IFERROR(__xludf.dummyfunction("""COMPUTED_VALUE"""),"")</f>
        <v/>
      </c>
      <c r="O26" s="33" t="str">
        <f aca="false">IFERROR(__xludf.dummyfunction("""COMPUTED_VALUE"""),"")</f>
        <v/>
      </c>
    </row>
    <row r="27" customFormat="false" ht="12.75" hidden="true" customHeight="false" outlineLevel="0" collapsed="false">
      <c r="A27" s="42" t="str">
        <f aca="false">IFERROR(__xludf.dummyfunction("""COMPUTED_VALUE"""),"Row Nos for Dept Data URLs:")</f>
        <v>Row Nos for Dept Data URLs:</v>
      </c>
      <c r="B27" s="44" t="n">
        <f aca="false">IFERROR(__xludf.dummyfunction("""COMPUTED_VALUE"""),6)</f>
        <v>6</v>
      </c>
      <c r="C27" s="44" t="n">
        <f aca="false">IFERROR(__xludf.dummyfunction("""COMPUTED_VALUE"""),12)</f>
        <v>12</v>
      </c>
      <c r="D27" s="37" t="str">
        <f aca="false">IFERROR(__xludf.dummyfunction("""COMPUTED_VALUE"""),"")</f>
        <v/>
      </c>
      <c r="E27" s="37" t="str">
        <f aca="false">IFERROR(__xludf.dummyfunction("""COMPUTED_VALUE"""),"")</f>
        <v/>
      </c>
      <c r="F27" s="37" t="str">
        <f aca="false">IFERROR(__xludf.dummyfunction("""COMPUTED_VALUE"""),"")</f>
        <v/>
      </c>
      <c r="G27" s="37" t="str">
        <f aca="false">IFERROR(__xludf.dummyfunction("""COMPUTED_VALUE"""),"")</f>
        <v/>
      </c>
      <c r="H27" s="37" t="str">
        <f aca="false">IFERROR(__xludf.dummyfunction("""COMPUTED_VALUE"""),"")</f>
        <v/>
      </c>
      <c r="I27" s="37" t="str">
        <f aca="false">IFERROR(__xludf.dummyfunction("""COMPUTED_VALUE"""),"")</f>
        <v/>
      </c>
      <c r="J27" s="37" t="str">
        <f aca="false">IFERROR(__xludf.dummyfunction("""COMPUTED_VALUE"""),"")</f>
        <v/>
      </c>
      <c r="K27" s="37" t="str">
        <f aca="false">IFERROR(__xludf.dummyfunction("""COMPUTED_VALUE"""),"")</f>
        <v/>
      </c>
      <c r="L27" s="37" t="str">
        <f aca="false">IFERROR(__xludf.dummyfunction("""COMPUTED_VALUE"""),"")</f>
        <v/>
      </c>
      <c r="M27" s="37" t="str">
        <f aca="false">IFERROR(__xludf.dummyfunction("""COMPUTED_VALUE"""),"")</f>
        <v/>
      </c>
      <c r="N27" s="37" t="str">
        <f aca="false">IFERROR(__xludf.dummyfunction("""COMPUTED_VALUE"""),"")</f>
        <v/>
      </c>
      <c r="O27" s="37" t="str">
        <f aca="false">IFERROR(__xludf.dummyfunction("""COMPUTED_VALUE"""),"")</f>
        <v/>
      </c>
    </row>
    <row r="28" customFormat="false" ht="12.75" hidden="true" customHeight="false" outlineLevel="0" collapsed="false">
      <c r="A28" s="42" t="str">
        <f aca="false">IFERROR(__xludf.dummyfunction("""COMPUTED_VALUE"""),"URL for Student Master Data:")</f>
        <v>URL for Student Master Data:</v>
      </c>
      <c r="B28" s="45" t="str">
        <f aca="false">IFERROR(__xludf.dummyfunction("""COMPUTED_VALUE"""),"https://docs.google.com/spreadsheets/d/15ADE8dLnJlVaLwejtTFuy30ykx9yYJbvMObbSyyU1aU/edit")</f>
        <v>https://docs.google.com/spreadsheets/d/15ADE8dLnJlVaLwejtTFuy30ykx9yYJbvMObbSyyU1aU/edit</v>
      </c>
      <c r="C28" s="45"/>
      <c r="D28" s="45"/>
      <c r="E28" s="45"/>
      <c r="F28" s="45"/>
      <c r="G28" s="45"/>
      <c r="H28" s="45"/>
      <c r="I28" s="45"/>
      <c r="J28" s="45"/>
      <c r="K28" s="45"/>
      <c r="L28" s="45"/>
      <c r="M28" s="45"/>
      <c r="N28" s="45"/>
      <c r="O28" s="45"/>
    </row>
    <row r="29" customFormat="false" ht="12.75" hidden="true" customHeight="false" outlineLevel="0" collapsed="false">
      <c r="A29" s="42" t="str">
        <f aca="false">IFERROR(__xludf.dummyfunction("""COMPUTED_VALUE"""),"URL for Inst Master Data:")</f>
        <v>URL for Inst Master Data:</v>
      </c>
      <c r="B29" s="45" t="str">
        <f aca="false">IFERROR(__xludf.dummyfunction("""COMPUTED_VALUE"""),"https://docs.google.com/spreadsheets/d/16tI-_4Fp0j9FT531CafPbVPgmsnzTSMdXqaP5tMqbJQ/edit")</f>
        <v>https://docs.google.com/spreadsheets/d/16tI-_4Fp0j9FT531CafPbVPgmsnzTSMdXqaP5tMqbJQ/edit</v>
      </c>
      <c r="C29" s="45"/>
      <c r="D29" s="45"/>
      <c r="E29" s="45"/>
      <c r="F29" s="45"/>
      <c r="G29" s="45"/>
      <c r="H29" s="45"/>
      <c r="I29" s="45"/>
      <c r="J29" s="45"/>
      <c r="K29" s="45"/>
      <c r="L29" s="45"/>
      <c r="M29" s="45"/>
      <c r="N29" s="45"/>
      <c r="O29" s="45"/>
    </row>
    <row r="30" customFormat="false" ht="12.75" hidden="true" customHeight="false" outlineLevel="0" collapsed="false">
      <c r="A30" s="46" t="str">
        <f aca="false">IFERROR(__xludf.dummyfunction("""COMPUTED_VALUE"""),"")</f>
        <v/>
      </c>
      <c r="B30" s="47" t="str">
        <f aca="false">IFERROR(__xludf.dummyfunction("""COMPUTED_VALUE"""),"")</f>
        <v/>
      </c>
      <c r="C30" s="47"/>
      <c r="D30" s="47"/>
      <c r="E30" s="47"/>
      <c r="F30" s="47"/>
      <c r="G30" s="47"/>
      <c r="H30" s="47"/>
      <c r="I30" s="47"/>
      <c r="J30" s="47"/>
      <c r="K30" s="47"/>
      <c r="L30" s="47"/>
      <c r="M30" s="47"/>
      <c r="N30" s="47"/>
      <c r="O30" s="47"/>
    </row>
    <row r="31" customFormat="false" ht="12.75" hidden="true" customHeight="false" outlineLevel="0" collapsed="false">
      <c r="A31" s="48" t="str">
        <f aca="false">IFERROR(__xludf.dummyfunction("""COMPUTED_VALUE"""),"Student &amp; Admission:")</f>
        <v>Student &amp; Admission:</v>
      </c>
      <c r="B31" s="49" t="str">
        <f aca="false">IFERROR(__xludf.dummyfunction("""COMPUTED_VALUE"""),"")</f>
        <v/>
      </c>
      <c r="C31" s="49" t="str">
        <f aca="false">IFERROR(__xludf.dummyfunction("""COMPUTED_VALUE"""),"")</f>
        <v/>
      </c>
      <c r="D31" s="49" t="str">
        <f aca="false">IFERROR(__xludf.dummyfunction("""COMPUTED_VALUE"""),"")</f>
        <v/>
      </c>
      <c r="E31" s="50" t="str">
        <f aca="false">IFERROR(__xludf.dummyfunction("""COMPUTED_VALUE"""),"")</f>
        <v/>
      </c>
      <c r="F31" s="50" t="str">
        <f aca="false">IFERROR(__xludf.dummyfunction("""COMPUTED_VALUE"""),"")</f>
        <v/>
      </c>
      <c r="G31" s="50" t="str">
        <f aca="false">IFERROR(__xludf.dummyfunction("""COMPUTED_VALUE"""),"")</f>
        <v/>
      </c>
      <c r="H31" s="50" t="str">
        <f aca="false">IFERROR(__xludf.dummyfunction("""COMPUTED_VALUE"""),"")</f>
        <v/>
      </c>
      <c r="I31" s="50" t="str">
        <f aca="false">IFERROR(__xludf.dummyfunction("""COMPUTED_VALUE"""),"")</f>
        <v/>
      </c>
      <c r="J31" s="50" t="str">
        <f aca="false">IFERROR(__xludf.dummyfunction("""COMPUTED_VALUE"""),"")</f>
        <v/>
      </c>
      <c r="K31" s="50" t="str">
        <f aca="false">IFERROR(__xludf.dummyfunction("""COMPUTED_VALUE"""),"")</f>
        <v/>
      </c>
      <c r="L31" s="50" t="str">
        <f aca="false">IFERROR(__xludf.dummyfunction("""COMPUTED_VALUE"""),"")</f>
        <v/>
      </c>
      <c r="M31" s="50" t="str">
        <f aca="false">IFERROR(__xludf.dummyfunction("""COMPUTED_VALUE"""),"")</f>
        <v/>
      </c>
      <c r="N31" s="50" t="str">
        <f aca="false">IFERROR(__xludf.dummyfunction("""COMPUTED_VALUE"""),"")</f>
        <v/>
      </c>
      <c r="O31" s="50" t="str">
        <f aca="false">IFERROR(__xludf.dummyfunction("""COMPUTED_VALUE"""),"")</f>
        <v/>
      </c>
    </row>
    <row r="32" customFormat="false" ht="12.75" hidden="true" customHeight="false" outlineLevel="0" collapsed="false">
      <c r="A32" s="42" t="str">
        <f aca="false">IFERROR(__xludf.dummyfunction("""COMPUTED_VALUE"""),"Gender Category:")</f>
        <v>Gender Category:</v>
      </c>
      <c r="B32" s="38" t="str">
        <f aca="false">IFERROR(__xludf.dummyfunction("""COMPUTED_VALUE"""),"M")</f>
        <v>M</v>
      </c>
      <c r="C32" s="38" t="str">
        <f aca="false">IFERROR(__xludf.dummyfunction("""COMPUTED_VALUE"""),"F")</f>
        <v>F</v>
      </c>
      <c r="D32" s="38" t="str">
        <f aca="false">IFERROR(__xludf.dummyfunction("""COMPUTED_VALUE"""),"T")</f>
        <v>T</v>
      </c>
      <c r="E32" s="49" t="str">
        <f aca="false">IFERROR(__xludf.dummyfunction("""COMPUTED_VALUE"""),"")</f>
        <v/>
      </c>
      <c r="F32" s="49" t="str">
        <f aca="false">IFERROR(__xludf.dummyfunction("""COMPUTED_VALUE"""),"")</f>
        <v/>
      </c>
      <c r="G32" s="49" t="str">
        <f aca="false">IFERROR(__xludf.dummyfunction("""COMPUTED_VALUE"""),"")</f>
        <v/>
      </c>
      <c r="H32" s="49" t="str">
        <f aca="false">IFERROR(__xludf.dummyfunction("""COMPUTED_VALUE"""),"")</f>
        <v/>
      </c>
      <c r="I32" s="49" t="str">
        <f aca="false">IFERROR(__xludf.dummyfunction("""COMPUTED_VALUE"""),"")</f>
        <v/>
      </c>
      <c r="J32" s="49" t="str">
        <f aca="false">IFERROR(__xludf.dummyfunction("""COMPUTED_VALUE"""),"")</f>
        <v/>
      </c>
      <c r="K32" s="49" t="str">
        <f aca="false">IFERROR(__xludf.dummyfunction("""COMPUTED_VALUE"""),"")</f>
        <v/>
      </c>
      <c r="L32" s="50" t="str">
        <f aca="false">IFERROR(__xludf.dummyfunction("""COMPUTED_VALUE"""),"")</f>
        <v/>
      </c>
      <c r="M32" s="50" t="str">
        <f aca="false">IFERROR(__xludf.dummyfunction("""COMPUTED_VALUE"""),"")</f>
        <v/>
      </c>
      <c r="N32" s="50" t="str">
        <f aca="false">IFERROR(__xludf.dummyfunction("""COMPUTED_VALUE"""),"")</f>
        <v/>
      </c>
      <c r="O32" s="50" t="str">
        <f aca="false">IFERROR(__xludf.dummyfunction("""COMPUTED_VALUE"""),"")</f>
        <v/>
      </c>
    </row>
    <row r="33" customFormat="false" ht="12.75" hidden="true" customHeight="false" outlineLevel="0" collapsed="false">
      <c r="A33" s="42" t="str">
        <f aca="false">IFERROR(__xludf.dummyfunction("""COMPUTED_VALUE"""),"Admission Category:")</f>
        <v>Admission Category:</v>
      </c>
      <c r="B33" s="38" t="str">
        <f aca="false">IFERROR(__xludf.dummyfunction("""COMPUTED_VALUE"""),"CET")</f>
        <v>CET</v>
      </c>
      <c r="C33" s="38" t="str">
        <f aca="false">IFERROR(__xludf.dummyfunction("""COMPUTED_VALUE"""),"JEE")</f>
        <v>JEE</v>
      </c>
      <c r="D33" s="38" t="str">
        <f aca="false">IFERROR(__xludf.dummyfunction("""COMPUTED_VALUE"""),"MGMT")</f>
        <v>MGMT</v>
      </c>
      <c r="E33" s="38" t="str">
        <f aca="false">IFERROR(__xludf.dummyfunction("""COMPUTED_VALUE"""),"MIL")</f>
        <v>MIL</v>
      </c>
      <c r="F33" s="51" t="str">
        <f aca="false">IFERROR(__xludf.dummyfunction("""COMPUTED_VALUE"""),"")</f>
        <v/>
      </c>
      <c r="G33" s="51" t="str">
        <f aca="false">IFERROR(__xludf.dummyfunction("""COMPUTED_VALUE"""),"")</f>
        <v/>
      </c>
      <c r="H33" s="51" t="str">
        <f aca="false">IFERROR(__xludf.dummyfunction("""COMPUTED_VALUE"""),"")</f>
        <v/>
      </c>
      <c r="I33" s="51" t="str">
        <f aca="false">IFERROR(__xludf.dummyfunction("""COMPUTED_VALUE"""),"")</f>
        <v/>
      </c>
      <c r="J33" s="51" t="str">
        <f aca="false">IFERROR(__xludf.dummyfunction("""COMPUTED_VALUE"""),"")</f>
        <v/>
      </c>
      <c r="K33" s="51" t="str">
        <f aca="false">IFERROR(__xludf.dummyfunction("""COMPUTED_VALUE"""),"")</f>
        <v/>
      </c>
      <c r="L33" s="50" t="str">
        <f aca="false">IFERROR(__xludf.dummyfunction("""COMPUTED_VALUE"""),"")</f>
        <v/>
      </c>
      <c r="M33" s="50" t="str">
        <f aca="false">IFERROR(__xludf.dummyfunction("""COMPUTED_VALUE"""),"")</f>
        <v/>
      </c>
      <c r="N33" s="50" t="str">
        <f aca="false">IFERROR(__xludf.dummyfunction("""COMPUTED_VALUE"""),"")</f>
        <v/>
      </c>
      <c r="O33" s="50" t="str">
        <f aca="false">IFERROR(__xludf.dummyfunction("""COMPUTED_VALUE"""),"")</f>
        <v/>
      </c>
    </row>
    <row r="34" customFormat="false" ht="12.75" hidden="true" customHeight="false" outlineLevel="0" collapsed="false">
      <c r="A34" s="42" t="str">
        <f aca="false">IFERROR(__xludf.dummyfunction("""COMPUTED_VALUE"""),"Admission Type")</f>
        <v>Admission Type</v>
      </c>
      <c r="B34" s="38" t="str">
        <f aca="false">IFERROR(__xludf.dummyfunction("""COMPUTED_VALUE"""),"REG")</f>
        <v>REG</v>
      </c>
      <c r="C34" s="38" t="str">
        <f aca="false">IFERROR(__xludf.dummyfunction("""COMPUTED_VALUE"""),"PROV")</f>
        <v>PROV</v>
      </c>
      <c r="D34" s="38" t="str">
        <f aca="false">IFERROR(__xludf.dummyfunction("""COMPUTED_VALUE"""),"")</f>
        <v/>
      </c>
      <c r="E34" s="38" t="str">
        <f aca="false">IFERROR(__xludf.dummyfunction("""COMPUTED_VALUE"""),"")</f>
        <v/>
      </c>
      <c r="F34" s="51" t="str">
        <f aca="false">IFERROR(__xludf.dummyfunction("""COMPUTED_VALUE"""),"")</f>
        <v/>
      </c>
      <c r="G34" s="51" t="str">
        <f aca="false">IFERROR(__xludf.dummyfunction("""COMPUTED_VALUE"""),"")</f>
        <v/>
      </c>
      <c r="H34" s="51" t="str">
        <f aca="false">IFERROR(__xludf.dummyfunction("""COMPUTED_VALUE"""),"")</f>
        <v/>
      </c>
      <c r="I34" s="51" t="str">
        <f aca="false">IFERROR(__xludf.dummyfunction("""COMPUTED_VALUE"""),"")</f>
        <v/>
      </c>
      <c r="J34" s="51" t="str">
        <f aca="false">IFERROR(__xludf.dummyfunction("""COMPUTED_VALUE"""),"")</f>
        <v/>
      </c>
      <c r="K34" s="51" t="str">
        <f aca="false">IFERROR(__xludf.dummyfunction("""COMPUTED_VALUE"""),"")</f>
        <v/>
      </c>
      <c r="L34" s="50" t="str">
        <f aca="false">IFERROR(__xludf.dummyfunction("""COMPUTED_VALUE"""),"")</f>
        <v/>
      </c>
      <c r="M34" s="50" t="str">
        <f aca="false">IFERROR(__xludf.dummyfunction("""COMPUTED_VALUE"""),"")</f>
        <v/>
      </c>
      <c r="N34" s="50" t="str">
        <f aca="false">IFERROR(__xludf.dummyfunction("""COMPUTED_VALUE"""),"")</f>
        <v/>
      </c>
      <c r="O34" s="50" t="str">
        <f aca="false">IFERROR(__xludf.dummyfunction("""COMPUTED_VALUE"""),"")</f>
        <v/>
      </c>
    </row>
    <row r="35" customFormat="false" ht="12.75" hidden="true" customHeight="false" outlineLevel="0" collapsed="false">
      <c r="A35" s="42" t="str">
        <f aca="false">IFERROR(__xludf.dummyfunction("""COMPUTED_VALUE"""),"Fee Category:")</f>
        <v>Fee Category:</v>
      </c>
      <c r="B35" s="38" t="str">
        <f aca="false">IFERROR(__xludf.dummyfunction("""COMPUTED_VALUE"""),"OPEN")</f>
        <v>OPEN</v>
      </c>
      <c r="C35" s="38" t="str">
        <f aca="false">IFERROR(__xludf.dummyfunction("""COMPUTED_VALUE"""),"EBC")</f>
        <v>EBC</v>
      </c>
      <c r="D35" s="51" t="str">
        <f aca="false">IFERROR(__xludf.dummyfunction("""COMPUTED_VALUE"""),"")</f>
        <v/>
      </c>
      <c r="E35" s="51" t="str">
        <f aca="false">IFERROR(__xludf.dummyfunction("""COMPUTED_VALUE"""),"")</f>
        <v/>
      </c>
      <c r="F35" s="51" t="str">
        <f aca="false">IFERROR(__xludf.dummyfunction("""COMPUTED_VALUE"""),"")</f>
        <v/>
      </c>
      <c r="G35" s="51" t="str">
        <f aca="false">IFERROR(__xludf.dummyfunction("""COMPUTED_VALUE"""),"")</f>
        <v/>
      </c>
      <c r="H35" s="51" t="str">
        <f aca="false">IFERROR(__xludf.dummyfunction("""COMPUTED_VALUE"""),"")</f>
        <v/>
      </c>
      <c r="I35" s="51" t="str">
        <f aca="false">IFERROR(__xludf.dummyfunction("""COMPUTED_VALUE"""),"")</f>
        <v/>
      </c>
      <c r="J35" s="51" t="str">
        <f aca="false">IFERROR(__xludf.dummyfunction("""COMPUTED_VALUE"""),"")</f>
        <v/>
      </c>
      <c r="K35" s="51" t="str">
        <f aca="false">IFERROR(__xludf.dummyfunction("""COMPUTED_VALUE"""),"")</f>
        <v/>
      </c>
      <c r="L35" s="50" t="str">
        <f aca="false">IFERROR(__xludf.dummyfunction("""COMPUTED_VALUE"""),"")</f>
        <v/>
      </c>
      <c r="M35" s="50" t="str">
        <f aca="false">IFERROR(__xludf.dummyfunction("""COMPUTED_VALUE"""),"")</f>
        <v/>
      </c>
      <c r="N35" s="50" t="str">
        <f aca="false">IFERROR(__xludf.dummyfunction("""COMPUTED_VALUE"""),"")</f>
        <v/>
      </c>
      <c r="O35" s="50" t="str">
        <f aca="false">IFERROR(__xludf.dummyfunction("""COMPUTED_VALUE"""),"")</f>
        <v/>
      </c>
    </row>
    <row r="36" customFormat="false" ht="12.75" hidden="true" customHeight="false" outlineLevel="0" collapsed="false">
      <c r="A36" s="42" t="str">
        <f aca="false">IFERROR(__xludf.dummyfunction("""COMPUTED_VALUE"""),"Caste Category:")</f>
        <v>Caste Category:</v>
      </c>
      <c r="B36" s="38" t="str">
        <f aca="false">IFERROR(__xludf.dummyfunction("""COMPUTED_VALUE"""),"OPEN")</f>
        <v>OPEN</v>
      </c>
      <c r="C36" s="38" t="str">
        <f aca="false">IFERROR(__xludf.dummyfunction("""COMPUTED_VALUE"""),"SC")</f>
        <v>SC</v>
      </c>
      <c r="D36" s="38" t="str">
        <f aca="false">IFERROR(__xludf.dummyfunction("""COMPUTED_VALUE"""),"ST")</f>
        <v>ST</v>
      </c>
      <c r="E36" s="38" t="str">
        <f aca="false">IFERROR(__xludf.dummyfunction("""COMPUTED_VALUE"""),"DT/VJ")</f>
        <v>DT/VJ</v>
      </c>
      <c r="F36" s="38" t="str">
        <f aca="false">IFERROR(__xludf.dummyfunction("""COMPUTED_VALUE"""),"NT1")</f>
        <v>NT1</v>
      </c>
      <c r="G36" s="38" t="str">
        <f aca="false">IFERROR(__xludf.dummyfunction("""COMPUTED_VALUE"""),"NT2")</f>
        <v>NT2</v>
      </c>
      <c r="H36" s="38" t="str">
        <f aca="false">IFERROR(__xludf.dummyfunction("""COMPUTED_VALUE"""),"NT3")</f>
        <v>NT3</v>
      </c>
      <c r="I36" s="38" t="str">
        <f aca="false">IFERROR(__xludf.dummyfunction("""COMPUTED_VALUE"""),"NT4")</f>
        <v>NT4</v>
      </c>
      <c r="J36" s="38" t="str">
        <f aca="false">IFERROR(__xludf.dummyfunction("""COMPUTED_VALUE"""),"OBC")</f>
        <v>OBC</v>
      </c>
      <c r="K36" s="38" t="str">
        <f aca="false">IFERROR(__xludf.dummyfunction("""COMPUTED_VALUE"""),"SBC")</f>
        <v>SBC</v>
      </c>
      <c r="L36" s="50" t="str">
        <f aca="false">IFERROR(__xludf.dummyfunction("""COMPUTED_VALUE"""),"")</f>
        <v/>
      </c>
      <c r="M36" s="50" t="str">
        <f aca="false">IFERROR(__xludf.dummyfunction("""COMPUTED_VALUE"""),"")</f>
        <v/>
      </c>
      <c r="N36" s="50" t="str">
        <f aca="false">IFERROR(__xludf.dummyfunction("""COMPUTED_VALUE"""),"")</f>
        <v/>
      </c>
      <c r="O36" s="50" t="str">
        <f aca="false">IFERROR(__xludf.dummyfunction("""COMPUTED_VALUE"""),"")</f>
        <v/>
      </c>
    </row>
    <row r="37" customFormat="false" ht="12.75" hidden="true" customHeight="false" outlineLevel="0" collapsed="false">
      <c r="A37" s="42" t="str">
        <f aca="false">IFERROR(__xludf.dummyfunction("""COMPUTED_VALUE"""),"")</f>
        <v/>
      </c>
      <c r="B37" s="38" t="str">
        <f aca="false">IFERROR(__xludf.dummyfunction("""COMPUTED_VALUE"""),"")</f>
        <v/>
      </c>
      <c r="C37" s="38" t="str">
        <f aca="false">IFERROR(__xludf.dummyfunction("""COMPUTED_VALUE"""),"")</f>
        <v/>
      </c>
      <c r="D37" s="38" t="str">
        <f aca="false">IFERROR(__xludf.dummyfunction("""COMPUTED_VALUE"""),"")</f>
        <v/>
      </c>
      <c r="E37" s="38" t="str">
        <f aca="false">IFERROR(__xludf.dummyfunction("""COMPUTED_VALUE"""),"")</f>
        <v/>
      </c>
      <c r="F37" s="51" t="str">
        <f aca="false">IFERROR(__xludf.dummyfunction("""COMPUTED_VALUE"""),"")</f>
        <v/>
      </c>
      <c r="G37" s="51" t="str">
        <f aca="false">IFERROR(__xludf.dummyfunction("""COMPUTED_VALUE"""),"")</f>
        <v/>
      </c>
      <c r="H37" s="51" t="str">
        <f aca="false">IFERROR(__xludf.dummyfunction("""COMPUTED_VALUE"""),"")</f>
        <v/>
      </c>
      <c r="I37" s="51" t="str">
        <f aca="false">IFERROR(__xludf.dummyfunction("""COMPUTED_VALUE"""),"")</f>
        <v/>
      </c>
      <c r="J37" s="51" t="str">
        <f aca="false">IFERROR(__xludf.dummyfunction("""COMPUTED_VALUE"""),"")</f>
        <v/>
      </c>
      <c r="K37" s="51" t="str">
        <f aca="false">IFERROR(__xludf.dummyfunction("""COMPUTED_VALUE"""),"")</f>
        <v/>
      </c>
      <c r="L37" s="50" t="str">
        <f aca="false">IFERROR(__xludf.dummyfunction("""COMPUTED_VALUE"""),"")</f>
        <v/>
      </c>
      <c r="M37" s="50" t="str">
        <f aca="false">IFERROR(__xludf.dummyfunction("""COMPUTED_VALUE"""),"")</f>
        <v/>
      </c>
      <c r="N37" s="50" t="str">
        <f aca="false">IFERROR(__xludf.dummyfunction("""COMPUTED_VALUE"""),"")</f>
        <v/>
      </c>
      <c r="O37" s="50" t="str">
        <f aca="false">IFERROR(__xludf.dummyfunction("""COMPUTED_VALUE"""),"")</f>
        <v/>
      </c>
    </row>
    <row r="38" customFormat="false" ht="12.75" hidden="true" customHeight="false" outlineLevel="0" collapsed="false">
      <c r="A38" s="42" t="str">
        <f aca="false">IFERROR(__xludf.dummyfunction("""COMPUTED_VALUE"""),"Fee Category:")</f>
        <v>Fee Category:</v>
      </c>
      <c r="B38" s="38" t="str">
        <f aca="false">IFERROR(__xludf.dummyfunction("""COMPUTED_VALUE"""),"OPEN")</f>
        <v>OPEN</v>
      </c>
      <c r="C38" s="38" t="str">
        <f aca="false">IFERROR(__xludf.dummyfunction("""COMPUTED_VALUE"""),"EBC")</f>
        <v>EBC</v>
      </c>
      <c r="D38" s="51" t="str">
        <f aca="false">IFERROR(__xludf.dummyfunction("""COMPUTED_VALUE"""),"")</f>
        <v/>
      </c>
      <c r="E38" s="51" t="str">
        <f aca="false">IFERROR(__xludf.dummyfunction("""COMPUTED_VALUE"""),"")</f>
        <v/>
      </c>
      <c r="F38" s="51" t="str">
        <f aca="false">IFERROR(__xludf.dummyfunction("""COMPUTED_VALUE"""),"")</f>
        <v/>
      </c>
      <c r="G38" s="51" t="str">
        <f aca="false">IFERROR(__xludf.dummyfunction("""COMPUTED_VALUE"""),"")</f>
        <v/>
      </c>
      <c r="H38" s="51" t="str">
        <f aca="false">IFERROR(__xludf.dummyfunction("""COMPUTED_VALUE"""),"")</f>
        <v/>
      </c>
      <c r="I38" s="51" t="str">
        <f aca="false">IFERROR(__xludf.dummyfunction("""COMPUTED_VALUE"""),"")</f>
        <v/>
      </c>
      <c r="J38" s="51" t="str">
        <f aca="false">IFERROR(__xludf.dummyfunction("""COMPUTED_VALUE"""),"")</f>
        <v/>
      </c>
      <c r="K38" s="51" t="str">
        <f aca="false">IFERROR(__xludf.dummyfunction("""COMPUTED_VALUE"""),"")</f>
        <v/>
      </c>
      <c r="L38" s="50" t="str">
        <f aca="false">IFERROR(__xludf.dummyfunction("""COMPUTED_VALUE"""),"")</f>
        <v/>
      </c>
      <c r="M38" s="50" t="str">
        <f aca="false">IFERROR(__xludf.dummyfunction("""COMPUTED_VALUE"""),"")</f>
        <v/>
      </c>
      <c r="N38" s="50" t="str">
        <f aca="false">IFERROR(__xludf.dummyfunction("""COMPUTED_VALUE"""),"")</f>
        <v/>
      </c>
      <c r="O38" s="50" t="str">
        <f aca="false">IFERROR(__xludf.dummyfunction("""COMPUTED_VALUE"""),"")</f>
        <v/>
      </c>
    </row>
    <row r="39" customFormat="false" ht="12.75" hidden="true" customHeight="false" outlineLevel="0" collapsed="false">
      <c r="A39" s="48" t="str">
        <f aca="false">IFERROR(__xludf.dummyfunction("""COMPUTED_VALUE"""),"")</f>
        <v/>
      </c>
      <c r="B39" s="50" t="str">
        <f aca="false">IFERROR(__xludf.dummyfunction("""COMPUTED_VALUE"""),"")</f>
        <v/>
      </c>
      <c r="C39" s="50" t="str">
        <f aca="false">IFERROR(__xludf.dummyfunction("""COMPUTED_VALUE"""),"")</f>
        <v/>
      </c>
      <c r="D39" s="50" t="str">
        <f aca="false">IFERROR(__xludf.dummyfunction("""COMPUTED_VALUE"""),"")</f>
        <v/>
      </c>
      <c r="E39" s="50" t="str">
        <f aca="false">IFERROR(__xludf.dummyfunction("""COMPUTED_VALUE"""),"")</f>
        <v/>
      </c>
      <c r="F39" s="50" t="str">
        <f aca="false">IFERROR(__xludf.dummyfunction("""COMPUTED_VALUE"""),"")</f>
        <v/>
      </c>
      <c r="G39" s="50" t="str">
        <f aca="false">IFERROR(__xludf.dummyfunction("""COMPUTED_VALUE"""),"")</f>
        <v/>
      </c>
      <c r="H39" s="50" t="str">
        <f aca="false">IFERROR(__xludf.dummyfunction("""COMPUTED_VALUE"""),"")</f>
        <v/>
      </c>
      <c r="I39" s="50" t="str">
        <f aca="false">IFERROR(__xludf.dummyfunction("""COMPUTED_VALUE"""),"")</f>
        <v/>
      </c>
      <c r="J39" s="50" t="str">
        <f aca="false">IFERROR(__xludf.dummyfunction("""COMPUTED_VALUE"""),"")</f>
        <v/>
      </c>
      <c r="K39" s="50" t="str">
        <f aca="false">IFERROR(__xludf.dummyfunction("""COMPUTED_VALUE"""),"")</f>
        <v/>
      </c>
      <c r="L39" s="50" t="str">
        <f aca="false">IFERROR(__xludf.dummyfunction("""COMPUTED_VALUE"""),"")</f>
        <v/>
      </c>
      <c r="M39" s="50" t="str">
        <f aca="false">IFERROR(__xludf.dummyfunction("""COMPUTED_VALUE"""),"")</f>
        <v/>
      </c>
      <c r="N39" s="50" t="str">
        <f aca="false">IFERROR(__xludf.dummyfunction("""COMPUTED_VALUE"""),"")</f>
        <v/>
      </c>
      <c r="O39" s="50" t="str">
        <f aca="false">IFERROR(__xludf.dummyfunction("""COMPUTED_VALUE"""),"")</f>
        <v/>
      </c>
    </row>
    <row r="40" customFormat="false" ht="12.75" hidden="true" customHeight="false" outlineLevel="0" collapsed="false">
      <c r="A40" s="48" t="str">
        <f aca="false">IFERROR(__xludf.dummyfunction("""COMPUTED_VALUE"""),"Employees:")</f>
        <v>Employees:</v>
      </c>
      <c r="B40" s="49" t="str">
        <f aca="false">IFERROR(__xludf.dummyfunction("""COMPUTED_VALUE"""),"")</f>
        <v/>
      </c>
      <c r="C40" s="49" t="str">
        <f aca="false">IFERROR(__xludf.dummyfunction("""COMPUTED_VALUE"""),"")</f>
        <v/>
      </c>
      <c r="D40" s="49" t="str">
        <f aca="false">IFERROR(__xludf.dummyfunction("""COMPUTED_VALUE"""),"")</f>
        <v/>
      </c>
      <c r="E40" s="50" t="str">
        <f aca="false">IFERROR(__xludf.dummyfunction("""COMPUTED_VALUE"""),"")</f>
        <v/>
      </c>
      <c r="F40" s="50" t="str">
        <f aca="false">IFERROR(__xludf.dummyfunction("""COMPUTED_VALUE"""),"")</f>
        <v/>
      </c>
      <c r="G40" s="50" t="str">
        <f aca="false">IFERROR(__xludf.dummyfunction("""COMPUTED_VALUE"""),"")</f>
        <v/>
      </c>
      <c r="H40" s="50" t="str">
        <f aca="false">IFERROR(__xludf.dummyfunction("""COMPUTED_VALUE"""),"")</f>
        <v/>
      </c>
      <c r="I40" s="50" t="str">
        <f aca="false">IFERROR(__xludf.dummyfunction("""COMPUTED_VALUE"""),"")</f>
        <v/>
      </c>
      <c r="J40" s="50" t="str">
        <f aca="false">IFERROR(__xludf.dummyfunction("""COMPUTED_VALUE"""),"")</f>
        <v/>
      </c>
      <c r="K40" s="50" t="str">
        <f aca="false">IFERROR(__xludf.dummyfunction("""COMPUTED_VALUE"""),"")</f>
        <v/>
      </c>
      <c r="L40" s="50" t="str">
        <f aca="false">IFERROR(__xludf.dummyfunction("""COMPUTED_VALUE"""),"")</f>
        <v/>
      </c>
      <c r="M40" s="50" t="str">
        <f aca="false">IFERROR(__xludf.dummyfunction("""COMPUTED_VALUE"""),"")</f>
        <v/>
      </c>
      <c r="N40" s="50" t="str">
        <f aca="false">IFERROR(__xludf.dummyfunction("""COMPUTED_VALUE"""),"")</f>
        <v/>
      </c>
      <c r="O40" s="50" t="str">
        <f aca="false">IFERROR(__xludf.dummyfunction("""COMPUTED_VALUE"""),"")</f>
        <v/>
      </c>
    </row>
    <row r="41" customFormat="false" ht="12.75" hidden="true" customHeight="false" outlineLevel="0" collapsed="false">
      <c r="A41" s="42" t="str">
        <f aca="false">IFERROR(__xludf.dummyfunction("""COMPUTED_VALUE"""),"Gender:")</f>
        <v>Gender:</v>
      </c>
      <c r="B41" s="38" t="str">
        <f aca="false">IFERROR(__xludf.dummyfunction("""COMPUTED_VALUE"""),"M")</f>
        <v>M</v>
      </c>
      <c r="C41" s="38" t="str">
        <f aca="false">IFERROR(__xludf.dummyfunction("""COMPUTED_VALUE"""),"F")</f>
        <v>F</v>
      </c>
      <c r="D41" s="38" t="str">
        <f aca="false">IFERROR(__xludf.dummyfunction("""COMPUTED_VALUE"""),"T")</f>
        <v>T</v>
      </c>
      <c r="E41" s="49" t="str">
        <f aca="false">IFERROR(__xludf.dummyfunction("""COMPUTED_VALUE"""),"")</f>
        <v/>
      </c>
      <c r="F41" s="49" t="str">
        <f aca="false">IFERROR(__xludf.dummyfunction("""COMPUTED_VALUE"""),"")</f>
        <v/>
      </c>
      <c r="G41" s="49" t="str">
        <f aca="false">IFERROR(__xludf.dummyfunction("""COMPUTED_VALUE"""),"")</f>
        <v/>
      </c>
      <c r="H41" s="50" t="str">
        <f aca="false">IFERROR(__xludf.dummyfunction("""COMPUTED_VALUE"""),"")</f>
        <v/>
      </c>
      <c r="I41" s="50" t="str">
        <f aca="false">IFERROR(__xludf.dummyfunction("""COMPUTED_VALUE"""),"")</f>
        <v/>
      </c>
      <c r="J41" s="50" t="str">
        <f aca="false">IFERROR(__xludf.dummyfunction("""COMPUTED_VALUE"""),"")</f>
        <v/>
      </c>
      <c r="K41" s="50" t="str">
        <f aca="false">IFERROR(__xludf.dummyfunction("""COMPUTED_VALUE"""),"")</f>
        <v/>
      </c>
      <c r="L41" s="50" t="str">
        <f aca="false">IFERROR(__xludf.dummyfunction("""COMPUTED_VALUE"""),"")</f>
        <v/>
      </c>
      <c r="M41" s="50" t="str">
        <f aca="false">IFERROR(__xludf.dummyfunction("""COMPUTED_VALUE"""),"")</f>
        <v/>
      </c>
      <c r="N41" s="50" t="str">
        <f aca="false">IFERROR(__xludf.dummyfunction("""COMPUTED_VALUE"""),"")</f>
        <v/>
      </c>
      <c r="O41" s="50" t="str">
        <f aca="false">IFERROR(__xludf.dummyfunction("""COMPUTED_VALUE"""),"")</f>
        <v/>
      </c>
    </row>
    <row r="42" customFormat="false" ht="42" hidden="true" customHeight="false" outlineLevel="0" collapsed="false">
      <c r="A42" s="42" t="str">
        <f aca="false">IFERROR(__xludf.dummyfunction("""COMPUTED_VALUE"""),"Faculty Designations:")</f>
        <v>Faculty Designations:</v>
      </c>
      <c r="B42" s="52" t="str">
        <f aca="false">IFERROR(__xludf.dummyfunction("""COMPUTED_VALUE"""),"Principal")</f>
        <v>Principal</v>
      </c>
      <c r="C42" s="52" t="str">
        <f aca="false">IFERROR(__xludf.dummyfunction("""COMPUTED_VALUE"""),"Prof.")</f>
        <v>Prof.</v>
      </c>
      <c r="D42" s="52" t="str">
        <f aca="false">IFERROR(__xludf.dummyfunction("""COMPUTED_VALUE"""),"Asso. Prof.")</f>
        <v>Asso. Prof.</v>
      </c>
      <c r="E42" s="52" t="str">
        <f aca="false">IFERROR(__xludf.dummyfunction("""COMPUTED_VALUE"""),"Assi. Prof.")</f>
        <v>Assi. Prof.</v>
      </c>
      <c r="F42" s="53" t="str">
        <f aca="false">IFERROR(__xludf.dummyfunction("""COMPUTED_VALUE"""),"Librarian")</f>
        <v>Librarian</v>
      </c>
      <c r="G42" s="53" t="str">
        <f aca="false">IFERROR(__xludf.dummyfunction("""COMPUTED_VALUE"""),"TPO")</f>
        <v>TPO</v>
      </c>
      <c r="H42" s="54" t="str">
        <f aca="false">IFERROR(__xludf.dummyfunction("""COMPUTED_VALUE"""),"")</f>
        <v/>
      </c>
      <c r="I42" s="54" t="str">
        <f aca="false">IFERROR(__xludf.dummyfunction("""COMPUTED_VALUE"""),"")</f>
        <v/>
      </c>
      <c r="J42" s="54" t="str">
        <f aca="false">IFERROR(__xludf.dummyfunction("""COMPUTED_VALUE"""),"")</f>
        <v/>
      </c>
      <c r="K42" s="54" t="str">
        <f aca="false">IFERROR(__xludf.dummyfunction("""COMPUTED_VALUE"""),"")</f>
        <v/>
      </c>
      <c r="L42" s="54" t="str">
        <f aca="false">IFERROR(__xludf.dummyfunction("""COMPUTED_VALUE"""),"")</f>
        <v/>
      </c>
      <c r="M42" s="54" t="str">
        <f aca="false">IFERROR(__xludf.dummyfunction("""COMPUTED_VALUE"""),"")</f>
        <v/>
      </c>
      <c r="N42" s="54" t="str">
        <f aca="false">IFERROR(__xludf.dummyfunction("""COMPUTED_VALUE"""),"")</f>
        <v/>
      </c>
      <c r="O42" s="54" t="str">
        <f aca="false">IFERROR(__xludf.dummyfunction("""COMPUTED_VALUE"""),"")</f>
        <v/>
      </c>
    </row>
    <row r="43" customFormat="false" ht="59.25" hidden="true" customHeight="true" outlineLevel="0" collapsed="false">
      <c r="A43" s="42" t="str">
        <f aca="false">IFERROR(__xludf.dummyfunction("""COMPUTED_VALUE"""),"Staff Designations:")</f>
        <v>Staff Designations:</v>
      </c>
      <c r="B43" s="40" t="str">
        <f aca="false">IFERROR(__xludf.dummyfunction("""COMPUTED_VALUE"""),"Registrar")</f>
        <v>Registrar</v>
      </c>
      <c r="C43" s="40" t="str">
        <f aca="false">IFERROR(__xludf.dummyfunction("""COMPUTED_VALUE"""),"Admin Officer")</f>
        <v>Admin Officer</v>
      </c>
      <c r="D43" s="40" t="str">
        <f aca="false">IFERROR(__xludf.dummyfunction("""COMPUTED_VALUE"""),"Accounts Officer")</f>
        <v>Accounts Officer</v>
      </c>
      <c r="E43" s="40" t="str">
        <f aca="false">IFERROR(__xludf.dummyfunction("""COMPUTED_VALUE"""),"Senior Clerk")</f>
        <v>Senior Clerk</v>
      </c>
      <c r="F43" s="40" t="str">
        <f aca="false">IFERROR(__xludf.dummyfunction("""COMPUTED_VALUE"""),"Junior Clerk")</f>
        <v>Junior Clerk</v>
      </c>
      <c r="G43" s="40" t="str">
        <f aca="false">IFERROR(__xludf.dummyfunction("""COMPUTED_VALUE"""),"Peon")</f>
        <v>Peon</v>
      </c>
      <c r="H43" s="40" t="str">
        <f aca="false">IFERROR(__xludf.dummyfunction("""COMPUTED_VALUE"""),"Lab Assistant")</f>
        <v>Lab Assistant</v>
      </c>
      <c r="I43" s="40" t="str">
        <f aca="false">IFERROR(__xludf.dummyfunction("""COMPUTED_VALUE"""),"Lab Attendant")</f>
        <v>Lab Attendant</v>
      </c>
      <c r="J43" s="31" t="str">
        <f aca="false">IFERROR(__xludf.dummyfunction("""COMPUTED_VALUE"""),"")</f>
        <v/>
      </c>
      <c r="K43" s="55" t="str">
        <f aca="false">IFERROR(__xludf.dummyfunction("""COMPUTED_VALUE"""),"")</f>
        <v/>
      </c>
      <c r="L43" s="55" t="str">
        <f aca="false">IFERROR(__xludf.dummyfunction("""COMPUTED_VALUE"""),"")</f>
        <v/>
      </c>
      <c r="M43" s="55" t="str">
        <f aca="false">IFERROR(__xludf.dummyfunction("""COMPUTED_VALUE"""),"")</f>
        <v/>
      </c>
      <c r="N43" s="55" t="str">
        <f aca="false">IFERROR(__xludf.dummyfunction("""COMPUTED_VALUE"""),"")</f>
        <v/>
      </c>
      <c r="O43" s="55" t="str">
        <f aca="false">IFERROR(__xludf.dummyfunction("""COMPUTED_VALUE"""),"")</f>
        <v/>
      </c>
    </row>
    <row r="44" customFormat="false" ht="12.75" hidden="true" customHeight="false" outlineLevel="0" collapsed="false">
      <c r="A44" s="42" t="str">
        <f aca="false">IFERROR(__xludf.dummyfunction("""COMPUTED_VALUE"""),"Departments:")</f>
        <v>Departments:</v>
      </c>
      <c r="B44" s="38" t="str">
        <f aca="false">IFERROR(__xludf.dummyfunction("""COMPUTED_VALUE"""),"COMP")</f>
        <v>COMP</v>
      </c>
      <c r="C44" s="38" t="str">
        <f aca="false">IFERROR(__xludf.dummyfunction("""COMPUTED_VALUE"""),"IT")</f>
        <v>IT</v>
      </c>
      <c r="D44" s="39" t="str">
        <f aca="false">IFERROR(__xludf.dummyfunction("""COMPUTED_VALUE"""),"ENTC")</f>
        <v>ENTC</v>
      </c>
      <c r="E44" s="39" t="str">
        <f aca="false">IFERROR(__xludf.dummyfunction("""COMPUTED_VALUE"""),"CIVIL")</f>
        <v>CIVIL</v>
      </c>
      <c r="F44" s="39" t="str">
        <f aca="false">IFERROR(__xludf.dummyfunction("""COMPUTED_VALUE"""),"MECH")</f>
        <v>MECH</v>
      </c>
      <c r="G44" s="39" t="str">
        <f aca="false">IFERROR(__xludf.dummyfunction("""COMPUTED_VALUE"""),"ELEC")</f>
        <v>ELEC</v>
      </c>
      <c r="H44" s="39" t="str">
        <f aca="false">IFERROR(__xludf.dummyfunction("""COMPUTED_VALUE"""),"FE")</f>
        <v>FE</v>
      </c>
      <c r="I44" s="51" t="str">
        <f aca="false">IFERROR(__xludf.dummyfunction("""COMPUTED_VALUE"""),"ADM")</f>
        <v>ADM</v>
      </c>
      <c r="J44" s="50" t="str">
        <f aca="false">IFERROR(__xludf.dummyfunction("""COMPUTED_VALUE"""),"")</f>
        <v/>
      </c>
      <c r="K44" s="50" t="str">
        <f aca="false">IFERROR(__xludf.dummyfunction("""COMPUTED_VALUE"""),"")</f>
        <v/>
      </c>
      <c r="L44" s="50" t="str">
        <f aca="false">IFERROR(__xludf.dummyfunction("""COMPUTED_VALUE"""),"")</f>
        <v/>
      </c>
      <c r="M44" s="50" t="str">
        <f aca="false">IFERROR(__xludf.dummyfunction("""COMPUTED_VALUE"""),"")</f>
        <v/>
      </c>
      <c r="N44" s="50" t="str">
        <f aca="false">IFERROR(__xludf.dummyfunction("""COMPUTED_VALUE"""),"")</f>
        <v/>
      </c>
      <c r="O44" s="50" t="str">
        <f aca="false">IFERROR(__xludf.dummyfunction("""COMPUTED_VALUE"""),"")</f>
        <v/>
      </c>
    </row>
    <row r="45" customFormat="false" ht="12.75" hidden="true" customHeight="false" outlineLevel="0" collapsed="false">
      <c r="A45" s="42" t="str">
        <f aca="false">IFERROR(__xludf.dummyfunction("""COMPUTED_VALUE"""),"Faculty Selection Type:")</f>
        <v>Faculty Selection Type:</v>
      </c>
      <c r="B45" s="56" t="str">
        <f aca="false">IFERROR(__xludf.dummyfunction("""COMPUTED_VALUE"""),"UGC")</f>
        <v>UGC</v>
      </c>
      <c r="C45" s="56" t="str">
        <f aca="false">IFERROR(__xludf.dummyfunction("""COMPUTED_VALUE"""),"Local")</f>
        <v>Local</v>
      </c>
      <c r="D45" s="56" t="str">
        <f aca="false">IFERROR(__xludf.dummyfunction("""COMPUTED_VALUE"""),"Direct")</f>
        <v>Direct</v>
      </c>
      <c r="E45" s="50" t="str">
        <f aca="false">IFERROR(__xludf.dummyfunction("""COMPUTED_VALUE"""),"")</f>
        <v/>
      </c>
      <c r="F45" s="50" t="str">
        <f aca="false">IFERROR(__xludf.dummyfunction("""COMPUTED_VALUE"""),"")</f>
        <v/>
      </c>
      <c r="G45" s="50" t="str">
        <f aca="false">IFERROR(__xludf.dummyfunction("""COMPUTED_VALUE"""),"")</f>
        <v/>
      </c>
      <c r="H45" s="50" t="str">
        <f aca="false">IFERROR(__xludf.dummyfunction("""COMPUTED_VALUE"""),"")</f>
        <v/>
      </c>
      <c r="I45" s="50" t="str">
        <f aca="false">IFERROR(__xludf.dummyfunction("""COMPUTED_VALUE"""),"")</f>
        <v/>
      </c>
      <c r="J45" s="50" t="str">
        <f aca="false">IFERROR(__xludf.dummyfunction("""COMPUTED_VALUE"""),"")</f>
        <v/>
      </c>
      <c r="K45" s="50" t="str">
        <f aca="false">IFERROR(__xludf.dummyfunction("""COMPUTED_VALUE"""),"")</f>
        <v/>
      </c>
      <c r="L45" s="50" t="str">
        <f aca="false">IFERROR(__xludf.dummyfunction("""COMPUTED_VALUE"""),"")</f>
        <v/>
      </c>
      <c r="M45" s="50" t="str">
        <f aca="false">IFERROR(__xludf.dummyfunction("""COMPUTED_VALUE"""),"")</f>
        <v/>
      </c>
      <c r="N45" s="50" t="str">
        <f aca="false">IFERROR(__xludf.dummyfunction("""COMPUTED_VALUE"""),"")</f>
        <v/>
      </c>
      <c r="O45" s="50" t="str">
        <f aca="false">IFERROR(__xludf.dummyfunction("""COMPUTED_VALUE"""),"")</f>
        <v/>
      </c>
    </row>
    <row r="46" customFormat="false" ht="12.75" hidden="true" customHeight="false" outlineLevel="0" collapsed="false">
      <c r="A46" s="42" t="str">
        <f aca="false">IFERROR(__xludf.dummyfunction("""COMPUTED_VALUE"""),"Staff Selection Type:")</f>
        <v>Staff Selection Type:</v>
      </c>
      <c r="B46" s="56" t="str">
        <f aca="false">IFERROR(__xludf.dummyfunction("""COMPUTED_VALUE"""),"Local")</f>
        <v>Local</v>
      </c>
      <c r="C46" s="56" t="str">
        <f aca="false">IFERROR(__xludf.dummyfunction("""COMPUTED_VALUE"""),"Direct")</f>
        <v>Direct</v>
      </c>
      <c r="D46" s="50" t="str">
        <f aca="false">IFERROR(__xludf.dummyfunction("""COMPUTED_VALUE"""),"")</f>
        <v/>
      </c>
      <c r="E46" s="50" t="str">
        <f aca="false">IFERROR(__xludf.dummyfunction("""COMPUTED_VALUE"""),"")</f>
        <v/>
      </c>
      <c r="F46" s="50" t="str">
        <f aca="false">IFERROR(__xludf.dummyfunction("""COMPUTED_VALUE"""),"")</f>
        <v/>
      </c>
      <c r="G46" s="50" t="str">
        <f aca="false">IFERROR(__xludf.dummyfunction("""COMPUTED_VALUE"""),"")</f>
        <v/>
      </c>
      <c r="H46" s="50" t="str">
        <f aca="false">IFERROR(__xludf.dummyfunction("""COMPUTED_VALUE"""),"")</f>
        <v/>
      </c>
      <c r="I46" s="50" t="str">
        <f aca="false">IFERROR(__xludf.dummyfunction("""COMPUTED_VALUE"""),"")</f>
        <v/>
      </c>
      <c r="J46" s="50" t="str">
        <f aca="false">IFERROR(__xludf.dummyfunction("""COMPUTED_VALUE"""),"")</f>
        <v/>
      </c>
      <c r="K46" s="50" t="str">
        <f aca="false">IFERROR(__xludf.dummyfunction("""COMPUTED_VALUE"""),"")</f>
        <v/>
      </c>
      <c r="L46" s="50" t="str">
        <f aca="false">IFERROR(__xludf.dummyfunction("""COMPUTED_VALUE"""),"")</f>
        <v/>
      </c>
      <c r="M46" s="50" t="str">
        <f aca="false">IFERROR(__xludf.dummyfunction("""COMPUTED_VALUE"""),"")</f>
        <v/>
      </c>
      <c r="N46" s="50" t="str">
        <f aca="false">IFERROR(__xludf.dummyfunction("""COMPUTED_VALUE"""),"")</f>
        <v/>
      </c>
      <c r="O46" s="50" t="str">
        <f aca="false">IFERROR(__xludf.dummyfunction("""COMPUTED_VALUE"""),"")</f>
        <v/>
      </c>
    </row>
    <row r="47" customFormat="false" ht="48.75" hidden="true" customHeight="true" outlineLevel="0" collapsed="false">
      <c r="A47" s="42" t="str">
        <f aca="false">IFERROR(__xludf.dummyfunction("""COMPUTED_VALUE"""),"Faculty Approval Status:")</f>
        <v>Faculty Approval Status:</v>
      </c>
      <c r="B47" s="40" t="str">
        <f aca="false">IFERROR(__xludf.dummyfunction("""COMPUTED_VALUE"""),"Approved")</f>
        <v>Approved</v>
      </c>
      <c r="C47" s="40" t="str">
        <f aca="false">IFERROR(__xludf.dummyfunction("""COMPUTED_VALUE"""),"Adhoc")</f>
        <v>Adhoc</v>
      </c>
      <c r="D47" s="50" t="str">
        <f aca="false">IFERROR(__xludf.dummyfunction("""COMPUTED_VALUE"""),"")</f>
        <v/>
      </c>
      <c r="E47" s="50" t="str">
        <f aca="false">IFERROR(__xludf.dummyfunction("""COMPUTED_VALUE"""),"")</f>
        <v/>
      </c>
      <c r="F47" s="50" t="str">
        <f aca="false">IFERROR(__xludf.dummyfunction("""COMPUTED_VALUE"""),"")</f>
        <v/>
      </c>
      <c r="G47" s="50" t="str">
        <f aca="false">IFERROR(__xludf.dummyfunction("""COMPUTED_VALUE"""),"")</f>
        <v/>
      </c>
      <c r="H47" s="50" t="str">
        <f aca="false">IFERROR(__xludf.dummyfunction("""COMPUTED_VALUE"""),"")</f>
        <v/>
      </c>
      <c r="I47" s="50" t="str">
        <f aca="false">IFERROR(__xludf.dummyfunction("""COMPUTED_VALUE"""),"")</f>
        <v/>
      </c>
      <c r="J47" s="50" t="str">
        <f aca="false">IFERROR(__xludf.dummyfunction("""COMPUTED_VALUE"""),"")</f>
        <v/>
      </c>
      <c r="K47" s="50" t="str">
        <f aca="false">IFERROR(__xludf.dummyfunction("""COMPUTED_VALUE"""),"")</f>
        <v/>
      </c>
      <c r="L47" s="50" t="str">
        <f aca="false">IFERROR(__xludf.dummyfunction("""COMPUTED_VALUE"""),"")</f>
        <v/>
      </c>
      <c r="M47" s="50" t="str">
        <f aca="false">IFERROR(__xludf.dummyfunction("""COMPUTED_VALUE"""),"")</f>
        <v/>
      </c>
      <c r="N47" s="50" t="str">
        <f aca="false">IFERROR(__xludf.dummyfunction("""COMPUTED_VALUE"""),"")</f>
        <v/>
      </c>
      <c r="O47" s="50" t="str">
        <f aca="false">IFERROR(__xludf.dummyfunction("""COMPUTED_VALUE"""),"")</f>
        <v/>
      </c>
    </row>
    <row r="48" customFormat="false" ht="12.75" hidden="true" customHeight="false" outlineLevel="0" collapsed="false">
      <c r="A48" s="42" t="str">
        <f aca="false">IFERROR(__xludf.dummyfunction("""COMPUTED_VALUE"""),"Salary Type")</f>
        <v>Salary Type</v>
      </c>
      <c r="B48" s="56" t="str">
        <f aca="false">IFERROR(__xludf.dummyfunction("""COMPUTED_VALUE"""),"Scale")</f>
        <v>Scale</v>
      </c>
      <c r="C48" s="56" t="str">
        <f aca="false">IFERROR(__xludf.dummyfunction("""COMPUTED_VALUE"""),"Fixed")</f>
        <v>Fixed</v>
      </c>
      <c r="D48" s="50" t="str">
        <f aca="false">IFERROR(__xludf.dummyfunction("""COMPUTED_VALUE"""),"")</f>
        <v/>
      </c>
      <c r="E48" s="50" t="str">
        <f aca="false">IFERROR(__xludf.dummyfunction("""COMPUTED_VALUE"""),"")</f>
        <v/>
      </c>
      <c r="F48" s="50" t="str">
        <f aca="false">IFERROR(__xludf.dummyfunction("""COMPUTED_VALUE"""),"")</f>
        <v/>
      </c>
      <c r="G48" s="50" t="str">
        <f aca="false">IFERROR(__xludf.dummyfunction("""COMPUTED_VALUE"""),"")</f>
        <v/>
      </c>
      <c r="H48" s="50" t="str">
        <f aca="false">IFERROR(__xludf.dummyfunction("""COMPUTED_VALUE"""),"")</f>
        <v/>
      </c>
      <c r="I48" s="50" t="str">
        <f aca="false">IFERROR(__xludf.dummyfunction("""COMPUTED_VALUE"""),"")</f>
        <v/>
      </c>
      <c r="J48" s="50" t="str">
        <f aca="false">IFERROR(__xludf.dummyfunction("""COMPUTED_VALUE"""),"")</f>
        <v/>
      </c>
      <c r="K48" s="50" t="str">
        <f aca="false">IFERROR(__xludf.dummyfunction("""COMPUTED_VALUE"""),"")</f>
        <v/>
      </c>
      <c r="L48" s="50" t="str">
        <f aca="false">IFERROR(__xludf.dummyfunction("""COMPUTED_VALUE"""),"")</f>
        <v/>
      </c>
      <c r="M48" s="50" t="str">
        <f aca="false">IFERROR(__xludf.dummyfunction("""COMPUTED_VALUE"""),"")</f>
        <v/>
      </c>
      <c r="N48" s="50" t="str">
        <f aca="false">IFERROR(__xludf.dummyfunction("""COMPUTED_VALUE"""),"")</f>
        <v/>
      </c>
      <c r="O48" s="50" t="str">
        <f aca="false">IFERROR(__xludf.dummyfunction("""COMPUTED_VALUE"""),"")</f>
        <v/>
      </c>
    </row>
    <row r="49" customFormat="false" ht="12.75" hidden="true" customHeight="false" outlineLevel="0" collapsed="false">
      <c r="A49" s="57"/>
      <c r="B49" s="58"/>
      <c r="C49" s="58"/>
      <c r="D49" s="58"/>
      <c r="E49" s="59"/>
      <c r="F49" s="59"/>
      <c r="G49" s="59"/>
      <c r="H49" s="59"/>
      <c r="I49" s="58"/>
      <c r="J49" s="58"/>
      <c r="K49" s="58"/>
      <c r="L49" s="58"/>
      <c r="M49" s="58"/>
      <c r="N49" s="58"/>
      <c r="O49" s="58"/>
    </row>
    <row r="50" customFormat="false" ht="12.75" hidden="true" customHeight="false" outlineLevel="0" collapsed="false">
      <c r="A50" s="57"/>
      <c r="B50" s="58"/>
      <c r="C50" s="58"/>
      <c r="D50" s="58"/>
      <c r="E50" s="59"/>
      <c r="F50" s="59"/>
      <c r="G50" s="59"/>
      <c r="H50" s="59"/>
      <c r="I50" s="58"/>
      <c r="J50" s="58"/>
      <c r="K50" s="58"/>
      <c r="L50" s="58"/>
      <c r="M50" s="58"/>
      <c r="N50" s="58"/>
      <c r="O50" s="58"/>
    </row>
    <row r="51" customFormat="false" ht="12.75" hidden="true" customHeight="false" outlineLevel="0" collapsed="false">
      <c r="A51" s="60"/>
      <c r="B51" s="5"/>
      <c r="C51" s="5"/>
      <c r="D51" s="5"/>
      <c r="E51" s="13"/>
      <c r="F51" s="13"/>
      <c r="G51" s="13"/>
      <c r="H51" s="13"/>
      <c r="I51" s="5"/>
      <c r="J51" s="5"/>
      <c r="K51" s="5"/>
      <c r="L51" s="5"/>
      <c r="M51" s="5"/>
      <c r="N51" s="5"/>
      <c r="O51" s="5"/>
    </row>
    <row r="52" customFormat="false" ht="12.75" hidden="true" customHeight="false" outlineLevel="0" collapsed="false">
      <c r="A52" s="60"/>
      <c r="B52" s="5"/>
      <c r="C52" s="5"/>
      <c r="D52" s="5"/>
      <c r="E52" s="13"/>
      <c r="F52" s="13"/>
      <c r="G52" s="13"/>
      <c r="H52" s="13"/>
      <c r="I52" s="5"/>
      <c r="J52" s="5"/>
      <c r="K52" s="5"/>
      <c r="L52" s="5"/>
      <c r="M52" s="5"/>
      <c r="N52" s="5"/>
      <c r="O52" s="5"/>
    </row>
    <row r="53" customFormat="false" ht="12.75" hidden="true" customHeight="false" outlineLevel="0" collapsed="false">
      <c r="A53" s="60"/>
      <c r="B53" s="5"/>
      <c r="C53" s="5"/>
      <c r="D53" s="5"/>
      <c r="E53" s="13"/>
      <c r="F53" s="13"/>
      <c r="G53" s="13"/>
      <c r="H53" s="13"/>
      <c r="I53" s="5"/>
      <c r="J53" s="5"/>
      <c r="K53" s="5"/>
      <c r="L53" s="5"/>
      <c r="M53" s="5"/>
      <c r="N53" s="5"/>
      <c r="O53" s="5"/>
    </row>
    <row r="54" customFormat="false" ht="12.75" hidden="true" customHeight="false" outlineLevel="0" collapsed="false">
      <c r="A54" s="60"/>
      <c r="B54" s="5"/>
      <c r="C54" s="5"/>
      <c r="D54" s="5"/>
      <c r="E54" s="13"/>
      <c r="F54" s="13"/>
      <c r="G54" s="13"/>
      <c r="H54" s="13"/>
      <c r="I54" s="5"/>
      <c r="J54" s="5"/>
      <c r="K54" s="5"/>
      <c r="L54" s="5"/>
      <c r="M54" s="5"/>
      <c r="N54" s="5"/>
      <c r="O54" s="5"/>
    </row>
    <row r="55" customFormat="false" ht="12.75" hidden="true" customHeight="false" outlineLevel="0" collapsed="false">
      <c r="A55" s="60"/>
      <c r="B55" s="5"/>
      <c r="C55" s="5"/>
      <c r="D55" s="5"/>
      <c r="E55" s="13"/>
      <c r="F55" s="13"/>
      <c r="G55" s="13"/>
      <c r="H55" s="13"/>
      <c r="I55" s="5"/>
      <c r="J55" s="5"/>
      <c r="K55" s="5"/>
      <c r="L55" s="5"/>
      <c r="M55" s="5"/>
      <c r="N55" s="5"/>
      <c r="O55" s="5"/>
    </row>
    <row r="56" customFormat="false" ht="12.75" hidden="true" customHeight="false" outlineLevel="0" collapsed="false">
      <c r="A56" s="60"/>
      <c r="B56" s="5"/>
      <c r="C56" s="5"/>
      <c r="D56" s="5"/>
      <c r="E56" s="13"/>
      <c r="F56" s="13"/>
      <c r="G56" s="13"/>
      <c r="H56" s="13"/>
      <c r="I56" s="5"/>
      <c r="J56" s="5"/>
      <c r="K56" s="5"/>
      <c r="L56" s="5"/>
      <c r="M56" s="5"/>
      <c r="N56" s="5"/>
      <c r="O56" s="5"/>
    </row>
    <row r="57" customFormat="false" ht="12.75" hidden="true" customHeight="false" outlineLevel="0" collapsed="false">
      <c r="A57" s="60"/>
      <c r="B57" s="5"/>
      <c r="C57" s="5"/>
      <c r="D57" s="5"/>
      <c r="E57" s="13"/>
      <c r="F57" s="13"/>
      <c r="G57" s="13"/>
      <c r="H57" s="13"/>
      <c r="I57" s="5"/>
      <c r="J57" s="5"/>
      <c r="K57" s="5"/>
      <c r="L57" s="5"/>
      <c r="M57" s="5"/>
      <c r="N57" s="5"/>
      <c r="O57" s="5"/>
    </row>
    <row r="58" customFormat="false" ht="14.25" hidden="true" customHeight="false" outlineLevel="0" collapsed="false">
      <c r="A58" s="61" t="s">
        <v>12</v>
      </c>
      <c r="B58" s="62" t="n">
        <f aca="false">IFERROR(__xludf.dummyfunction("filter(index(importrange(B29, ""URLs!B"" &amp;B27 &amp;"":C"" &amp;C27)), importrange(B29, ""URLs!A"" &amp; B27 &amp;"":A"" &amp; C27) = B5)"),16)</f>
        <v>16</v>
      </c>
      <c r="C58" s="63" t="n">
        <f aca="false">IFERROR(__xludf.dummyfunction("""COMPUTED_VALUE"""),63)</f>
        <v>63</v>
      </c>
      <c r="D58" s="64"/>
      <c r="E58" s="64"/>
      <c r="F58" s="64"/>
      <c r="G58" s="64"/>
      <c r="H58" s="64"/>
      <c r="I58" s="64"/>
      <c r="J58" s="64"/>
      <c r="K58" s="64"/>
      <c r="L58" s="64"/>
      <c r="M58" s="64"/>
      <c r="N58" s="64"/>
      <c r="O58" s="64"/>
    </row>
    <row r="59" customFormat="false" ht="12.75" hidden="true" customHeight="false" outlineLevel="0" collapsed="false">
      <c r="A59" s="65" t="str">
        <f aca="false">IFERROR(__xludf.dummyfunction("importrange(B29, ""URLs!A"" &amp; B58 &amp; "":C"" &amp; B58)"),"Dept")</f>
        <v>Dept</v>
      </c>
      <c r="B59" s="66" t="str">
        <f aca="false">IFERROR(__xludf.dummyfunction("""COMPUTED_VALUE"""),"https://docs.google.com/spreadsheets/d/1bMWd1xxvw3nyhrcl6m5dgQ7fLikCLMcF0CKf59mHxiY/edit")</f>
        <v>https://docs.google.com/spreadsheets/d/1bMWd1xxvw3nyhrcl6m5dgQ7fLikCLMcF0CKf59mHxiY/edit</v>
      </c>
      <c r="C59" s="66"/>
      <c r="D59" s="66"/>
      <c r="E59" s="66"/>
      <c r="F59" s="66"/>
      <c r="G59" s="66"/>
      <c r="H59" s="66"/>
      <c r="I59" s="66"/>
      <c r="J59" s="66"/>
      <c r="K59" s="66"/>
      <c r="L59" s="66"/>
      <c r="M59" s="66"/>
      <c r="N59" s="66"/>
      <c r="O59" s="67"/>
    </row>
    <row r="60" customFormat="false" ht="12.75" hidden="true" customHeight="false" outlineLevel="0" collapsed="false">
      <c r="A60" s="65" t="str">
        <f aca="false">IFERROR(__xludf.dummyfunction("filter(index(importrange(B29, ""URLs!A"" &amp; B58 &amp;"":B"" &amp; C58)), importrange(B29, ""URLs!A"" &amp; B58 &amp;"":A"" &amp; C58) = B6)"),"SE")</f>
        <v>SE</v>
      </c>
      <c r="B60" s="66" t="str">
        <f aca="false">IFERROR(__xludf.dummyfunction("""COMPUTED_VALUE"""),"https://docs.google.com/spreadsheets/d/1bIP87PmmofCB6fWVtJ3h64h-qbz5ruFwP-qkOKN5ZzY/edit")</f>
        <v>https://docs.google.com/spreadsheets/d/1bIP87PmmofCB6fWVtJ3h64h-qbz5ruFwP-qkOKN5ZzY/edit</v>
      </c>
      <c r="C60" s="66"/>
      <c r="D60" s="66"/>
      <c r="E60" s="66"/>
      <c r="F60" s="66"/>
      <c r="G60" s="66"/>
      <c r="H60" s="66"/>
      <c r="I60" s="66"/>
      <c r="J60" s="66"/>
      <c r="K60" s="66"/>
      <c r="L60" s="66"/>
      <c r="M60" s="66"/>
      <c r="N60" s="66"/>
      <c r="O60" s="67"/>
    </row>
    <row r="61" customFormat="false" ht="12.75" hidden="true" customHeight="false" outlineLevel="0" collapsed="false">
      <c r="A61" s="60"/>
      <c r="B61" s="5"/>
      <c r="C61" s="5"/>
      <c r="D61" s="5"/>
      <c r="E61" s="13"/>
      <c r="F61" s="13"/>
      <c r="G61" s="13"/>
      <c r="H61" s="13"/>
      <c r="I61" s="5"/>
      <c r="J61" s="5"/>
      <c r="K61" s="5"/>
      <c r="L61" s="5"/>
      <c r="M61" s="5"/>
      <c r="N61" s="5"/>
      <c r="O61" s="5"/>
    </row>
    <row r="62" customFormat="false" ht="12.75" hidden="true" customHeight="false" outlineLevel="0" collapsed="false">
      <c r="A62" s="68" t="s">
        <v>13</v>
      </c>
      <c r="B62" s="69" t="str">
        <f aca="false">"COMP2!"&amp;"F4:F" &amp; 4 + K66</f>
        <v>COMP2!F4:F70</v>
      </c>
      <c r="C62" s="69"/>
      <c r="D62" s="69"/>
      <c r="E62" s="69"/>
      <c r="F62" s="69"/>
      <c r="G62" s="69"/>
      <c r="H62" s="69"/>
      <c r="I62" s="69"/>
      <c r="J62" s="69"/>
      <c r="K62" s="69"/>
      <c r="L62" s="69"/>
      <c r="M62" s="69"/>
      <c r="N62" s="69"/>
      <c r="O62" s="70"/>
    </row>
    <row r="63" customFormat="false" ht="12.75" hidden="true" customHeight="false" outlineLevel="0" collapsed="false">
      <c r="A63" s="68" t="s">
        <v>14</v>
      </c>
      <c r="B63" s="69" t="str">
        <f aca="false">"COMP2!"&amp;"N4:N" &amp; 4+K66</f>
        <v>COMP2!N4:N70</v>
      </c>
      <c r="C63" s="69"/>
      <c r="D63" s="69"/>
      <c r="E63" s="69"/>
      <c r="F63" s="69"/>
      <c r="G63" s="69"/>
      <c r="H63" s="69"/>
      <c r="I63" s="69"/>
      <c r="J63" s="69"/>
      <c r="K63" s="69"/>
      <c r="L63" s="69"/>
      <c r="M63" s="69"/>
      <c r="N63" s="69"/>
      <c r="O63" s="70"/>
    </row>
    <row r="64" customFormat="false" ht="12.75" hidden="true" customHeight="false" outlineLevel="0" collapsed="false">
      <c r="A64" s="60"/>
      <c r="B64" s="5"/>
      <c r="C64" s="5"/>
      <c r="D64" s="5"/>
      <c r="E64" s="13"/>
      <c r="F64" s="13"/>
      <c r="G64" s="13"/>
      <c r="H64" s="13"/>
      <c r="I64" s="5"/>
      <c r="J64" s="5"/>
      <c r="K64" s="5"/>
      <c r="L64" s="5"/>
      <c r="M64" s="5"/>
      <c r="N64" s="5"/>
      <c r="O64" s="5"/>
    </row>
    <row r="65" customFormat="false" ht="12.75" hidden="true" customHeight="false" outlineLevel="0" collapsed="false">
      <c r="A65" s="60" t="s">
        <v>15</v>
      </c>
      <c r="B65" s="71" t="s">
        <v>16</v>
      </c>
      <c r="C65" s="71"/>
      <c r="D65" s="71"/>
      <c r="E65" s="71"/>
      <c r="F65" s="72" t="s">
        <v>17</v>
      </c>
      <c r="G65" s="72"/>
      <c r="H65" s="72"/>
      <c r="I65" s="72"/>
      <c r="J65" s="73"/>
      <c r="K65" s="71" t="s">
        <v>18</v>
      </c>
      <c r="L65" s="71" t="s">
        <v>19</v>
      </c>
      <c r="M65" s="71"/>
      <c r="N65" s="71"/>
      <c r="O65" s="73"/>
    </row>
    <row r="66" customFormat="false" ht="12.75" hidden="true" customHeight="false" outlineLevel="0" collapsed="false">
      <c r="A66" s="60"/>
      <c r="B66" s="74" t="str">
        <f aca="false">IFERROR(__xludf.dummyfunction("importrange(B60, ""Workload!B49:B60"")"),"Mr. D. S. Sonawane")</f>
        <v>Mr. D. S. Sonawane</v>
      </c>
      <c r="C66" s="74"/>
      <c r="D66" s="74"/>
      <c r="E66" s="74"/>
      <c r="F66" s="75" t="str">
        <f aca="false">IFERROR(__xludf.dummyfunction("importrange(B60, ""Subject!C8:C23"")"),"Engineering Mathematics - III")</f>
        <v>Engineering Mathematics - III</v>
      </c>
      <c r="G66" s="75"/>
      <c r="H66" s="75"/>
      <c r="I66" s="75"/>
      <c r="J66" s="76" t="str">
        <f aca="false">IFERROR(__xludf.dummyfunction("iferror(transpose(importrange(B60, ""Class!B6:G8"")))"),"Class")</f>
        <v>Class</v>
      </c>
      <c r="K66" s="77" t="n">
        <f aca="false">IFERROR(__xludf.dummyfunction("""COMPUTED_VALUE"""),66)</f>
        <v>66</v>
      </c>
      <c r="L66" s="78" t="str">
        <f aca="false">IFERROR(__xludf.dummyfunction("""COMPUTED_VALUE"""),"Mr. S. K. Shah")</f>
        <v>Mr. S. K. Shah</v>
      </c>
      <c r="M66" s="78"/>
      <c r="N66" s="78"/>
      <c r="O66" s="79"/>
    </row>
    <row r="67" customFormat="false" ht="12.75" hidden="true" customHeight="false" outlineLevel="0" collapsed="false">
      <c r="A67" s="60"/>
      <c r="B67" s="78" t="str">
        <f aca="false">IFERROR(__xludf.dummyfunction("""COMPUTED_VALUE"""),"Mr. S. K. Shah")</f>
        <v>Mr. S. K. Shah</v>
      </c>
      <c r="C67" s="78"/>
      <c r="D67" s="78"/>
      <c r="E67" s="78"/>
      <c r="F67" s="78" t="str">
        <f aca="false">IFERROR(__xludf.dummyfunction("""COMPUTED_VALUE"""),"Computer Graphics")</f>
        <v>Computer Graphics</v>
      </c>
      <c r="G67" s="78"/>
      <c r="H67" s="78"/>
      <c r="I67" s="78"/>
      <c r="J67" s="7" t="str">
        <f aca="false">IFERROR(__xludf.dummyfunction("""COMPUTED_VALUE"""),"A")</f>
        <v>A</v>
      </c>
      <c r="K67" s="80" t="n">
        <f aca="false">IFERROR(__xludf.dummyfunction("""COMPUTED_VALUE"""),17)</f>
        <v>17</v>
      </c>
      <c r="L67" s="81" t="str">
        <f aca="false">IFERROR(__xludf.dummyfunction("""COMPUTED_VALUE"""),"Mr. S. K. Shah")</f>
        <v>Mr. S. K. Shah</v>
      </c>
      <c r="M67" s="81"/>
      <c r="N67" s="81"/>
      <c r="O67" s="5"/>
    </row>
    <row r="68" customFormat="false" ht="12.75" hidden="true" customHeight="false" outlineLevel="0" collapsed="false">
      <c r="A68" s="5"/>
      <c r="B68" s="78" t="str">
        <f aca="false">IFERROR(__xludf.dummyfunction("""COMPUTED_VALUE"""),"Mr. V. V. Rampurkar")</f>
        <v>Mr. V. V. Rampurkar</v>
      </c>
      <c r="C68" s="78"/>
      <c r="D68" s="78"/>
      <c r="E68" s="78"/>
      <c r="F68" s="78" t="str">
        <f aca="false">IFERROR(__xludf.dummyfunction("""COMPUTED_VALUE"""),"Advanced Data Structures")</f>
        <v>Advanced Data Structures</v>
      </c>
      <c r="G68" s="78"/>
      <c r="H68" s="78"/>
      <c r="I68" s="78"/>
      <c r="J68" s="7" t="str">
        <f aca="false">IFERROR(__xludf.dummyfunction("""COMPUTED_VALUE"""),"B")</f>
        <v>B</v>
      </c>
      <c r="K68" s="80" t="n">
        <f aca="false">IFERROR(__xludf.dummyfunction("""COMPUTED_VALUE"""),17)</f>
        <v>17</v>
      </c>
      <c r="L68" s="81" t="str">
        <f aca="false">IFERROR(__xludf.dummyfunction("""COMPUTED_VALUE"""),"Mr. P. T. Raut")</f>
        <v>Mr. P. T. Raut</v>
      </c>
      <c r="M68" s="81"/>
      <c r="N68" s="81"/>
      <c r="O68" s="5"/>
    </row>
    <row r="69" customFormat="false" ht="12.75" hidden="true" customHeight="false" outlineLevel="0" collapsed="false">
      <c r="A69" s="5"/>
      <c r="B69" s="78" t="str">
        <f aca="false">IFERROR(__xludf.dummyfunction("""COMPUTED_VALUE"""),"Mr. P. T. Raut")</f>
        <v>Mr. P. T. Raut</v>
      </c>
      <c r="C69" s="78"/>
      <c r="D69" s="78"/>
      <c r="E69" s="78"/>
      <c r="F69" s="78" t="str">
        <f aca="false">IFERROR(__xludf.dummyfunction("""COMPUTED_VALUE"""),"Microprocessor")</f>
        <v>Microprocessor</v>
      </c>
      <c r="G69" s="78"/>
      <c r="H69" s="78"/>
      <c r="I69" s="78"/>
      <c r="J69" s="7" t="str">
        <f aca="false">IFERROR(__xludf.dummyfunction("""COMPUTED_VALUE"""),"C")</f>
        <v>C</v>
      </c>
      <c r="K69" s="80" t="n">
        <f aca="false">IFERROR(__xludf.dummyfunction("""COMPUTED_VALUE"""),16)</f>
        <v>16</v>
      </c>
      <c r="L69" s="81" t="str">
        <f aca="false">IFERROR(__xludf.dummyfunction("""COMPUTED_VALUE"""),"Mr. V. V. Rampurkar")</f>
        <v>Mr. V. V. Rampurkar</v>
      </c>
      <c r="M69" s="81"/>
      <c r="N69" s="81"/>
      <c r="O69" s="5"/>
    </row>
    <row r="70" customFormat="false" ht="12.75" hidden="true" customHeight="false" outlineLevel="0" collapsed="false">
      <c r="A70" s="5"/>
      <c r="B70" s="78" t="str">
        <f aca="false">IFERROR(__xludf.dummyfunction("""COMPUTED_VALUE"""),"Mr. P. M. Paithane")</f>
        <v>Mr. P. M. Paithane</v>
      </c>
      <c r="C70" s="78"/>
      <c r="D70" s="78"/>
      <c r="E70" s="78"/>
      <c r="F70" s="78" t="str">
        <f aca="false">IFERROR(__xludf.dummyfunction("""COMPUTED_VALUE"""),"Principles of Programming Languages")</f>
        <v>Principles of Programming Languages</v>
      </c>
      <c r="G70" s="78"/>
      <c r="H70" s="78"/>
      <c r="I70" s="78"/>
      <c r="J70" s="7" t="str">
        <f aca="false">IFERROR(__xludf.dummyfunction("""COMPUTED_VALUE"""),"D")</f>
        <v>D</v>
      </c>
      <c r="K70" s="80" t="n">
        <f aca="false">IFERROR(__xludf.dummyfunction("""COMPUTED_VALUE"""),16)</f>
        <v>16</v>
      </c>
      <c r="L70" s="81" t="str">
        <f aca="false">IFERROR(__xludf.dummyfunction("""COMPUTED_VALUE"""),"Mr. P. M. Paithane")</f>
        <v>Mr. P. M. Paithane</v>
      </c>
      <c r="M70" s="81"/>
      <c r="N70" s="81"/>
      <c r="O70" s="5"/>
    </row>
    <row r="71" customFormat="false" ht="12.75" hidden="true" customHeight="false" outlineLevel="0" collapsed="false">
      <c r="A71" s="5"/>
      <c r="B71" s="78" t="str">
        <f aca="false">IFERROR(__xludf.dummyfunction("""COMPUTED_VALUE"""),"Mr. R. H. Ambole")</f>
        <v>Mr. R. H. Ambole</v>
      </c>
      <c r="C71" s="78"/>
      <c r="D71" s="78"/>
      <c r="E71" s="78"/>
      <c r="F71" s="78" t="str">
        <f aca="false">IFERROR(__xludf.dummyfunction("""COMPUTED_VALUE"""),"Computer Graphics Lab")</f>
        <v>Computer Graphics Lab</v>
      </c>
      <c r="G71" s="78"/>
      <c r="H71" s="78"/>
      <c r="I71" s="78"/>
      <c r="J71" s="7" t="str">
        <f aca="false">IFERROR(__xludf.dummyfunction("""COMPUTED_VALUE"""),"E")</f>
        <v>E</v>
      </c>
      <c r="K71" s="80" t="n">
        <f aca="false">IFERROR(__xludf.dummyfunction("""COMPUTED_VALUE"""),0)</f>
        <v>0</v>
      </c>
      <c r="L71" s="81" t="str">
        <f aca="false">IFERROR(__xludf.dummyfunction("""COMPUTED_VALUE"""),"")</f>
        <v/>
      </c>
      <c r="M71" s="81"/>
      <c r="N71" s="81"/>
      <c r="O71" s="5"/>
    </row>
    <row r="72" customFormat="false" ht="12.75" hidden="true" customHeight="false" outlineLevel="0" collapsed="false">
      <c r="A72" s="5"/>
      <c r="B72" s="78" t="str">
        <f aca="false">IFERROR(__xludf.dummyfunction("""COMPUTED_VALUE"""),"Mr. R. V. Panchal")</f>
        <v>Mr. R. V. Panchal</v>
      </c>
      <c r="C72" s="78"/>
      <c r="D72" s="78"/>
      <c r="E72" s="78"/>
      <c r="F72" s="78" t="str">
        <f aca="false">IFERROR(__xludf.dummyfunction("""COMPUTED_VALUE"""),"Advanced Data Structures Lab")</f>
        <v>Advanced Data Structures Lab</v>
      </c>
      <c r="G72" s="78"/>
      <c r="H72" s="78"/>
      <c r="I72" s="78"/>
      <c r="J72" s="5"/>
      <c r="K72" s="5"/>
      <c r="L72" s="5"/>
      <c r="M72" s="5"/>
      <c r="N72" s="5"/>
      <c r="O72" s="5"/>
    </row>
    <row r="73" customFormat="false" ht="12.75" hidden="true" customHeight="false" outlineLevel="0" collapsed="false">
      <c r="A73" s="5"/>
      <c r="B73" s="78" t="str">
        <f aca="false">IFERROR(__xludf.dummyfunction("""COMPUTED_VALUE"""),"")</f>
        <v/>
      </c>
      <c r="C73" s="78"/>
      <c r="D73" s="78"/>
      <c r="E73" s="78"/>
      <c r="F73" s="78" t="str">
        <f aca="false">IFERROR(__xludf.dummyfunction("""COMPUTED_VALUE"""),"Microprocessor Lab")</f>
        <v>Microprocessor Lab</v>
      </c>
      <c r="G73" s="78"/>
      <c r="H73" s="78"/>
      <c r="I73" s="78"/>
      <c r="J73" s="68" t="s">
        <v>20</v>
      </c>
      <c r="K73" s="82" t="str">
        <f aca="false">IFERROR(__xludf.dummyfunction("importrange(B59, ""Data!B6"")"),"Dr. S. K. Shinde")</f>
        <v>Dr. S. K. Shinde</v>
      </c>
      <c r="L73" s="82"/>
      <c r="M73" s="82"/>
      <c r="N73" s="82"/>
    </row>
    <row r="74" customFormat="false" ht="12.75" hidden="true" customHeight="false" outlineLevel="0" collapsed="false">
      <c r="A74" s="5"/>
      <c r="B74" s="78" t="str">
        <f aca="false">IFERROR(__xludf.dummyfunction("""COMPUTED_VALUE"""),"")</f>
        <v/>
      </c>
      <c r="C74" s="78"/>
      <c r="D74" s="78"/>
      <c r="E74" s="78"/>
      <c r="F74" s="78" t="str">
        <f aca="false">IFERROR(__xludf.dummyfunction("""COMPUTED_VALUE"""),"Audit Course 2")</f>
        <v>Audit Course 2</v>
      </c>
      <c r="G74" s="78"/>
      <c r="H74" s="78"/>
      <c r="I74" s="78"/>
      <c r="M74" s="5"/>
      <c r="N74" s="5"/>
      <c r="O74" s="5"/>
    </row>
    <row r="75" customFormat="false" ht="12.75" hidden="true" customHeight="false" outlineLevel="0" collapsed="false">
      <c r="A75" s="5"/>
      <c r="B75" s="78" t="str">
        <f aca="false">IFERROR(__xludf.dummyfunction("""COMPUTED_VALUE"""),"")</f>
        <v/>
      </c>
      <c r="C75" s="78"/>
      <c r="D75" s="78"/>
      <c r="E75" s="78"/>
      <c r="F75" s="78" t="str">
        <f aca="false">IFERROR(__xludf.dummyfunction("""COMPUTED_VALUE"""),"")</f>
        <v/>
      </c>
      <c r="G75" s="78"/>
      <c r="H75" s="78"/>
      <c r="I75" s="78"/>
      <c r="J75" s="5"/>
      <c r="K75" s="80" t="s">
        <v>21</v>
      </c>
      <c r="L75" s="80"/>
      <c r="M75" s="5"/>
      <c r="N75" s="5"/>
      <c r="O75" s="5"/>
    </row>
    <row r="76" customFormat="false" ht="12.75" hidden="true" customHeight="false" outlineLevel="0" collapsed="false">
      <c r="A76" s="5"/>
      <c r="B76" s="78" t="str">
        <f aca="false">IFERROR(__xludf.dummyfunction("""COMPUTED_VALUE"""),"")</f>
        <v/>
      </c>
      <c r="C76" s="78"/>
      <c r="D76" s="78"/>
      <c r="E76" s="78"/>
      <c r="F76" s="78" t="str">
        <f aca="false">IFERROR(__xludf.dummyfunction("""COMPUTED_VALUE"""),"")</f>
        <v/>
      </c>
      <c r="G76" s="78"/>
      <c r="H76" s="78"/>
      <c r="I76" s="78"/>
      <c r="J76" s="83"/>
      <c r="K76" s="84" t="s">
        <v>22</v>
      </c>
      <c r="L76" s="71" t="s">
        <v>23</v>
      </c>
      <c r="M76" s="5"/>
      <c r="N76" s="5"/>
      <c r="O76" s="5"/>
    </row>
    <row r="77" customFormat="false" ht="12.75" hidden="true" customHeight="false" outlineLevel="0" collapsed="false">
      <c r="A77" s="5"/>
      <c r="B77" s="78" t="str">
        <f aca="false">IFERROR(__xludf.dummyfunction("""COMPUTED_VALUE"""),"")</f>
        <v/>
      </c>
      <c r="C77" s="78"/>
      <c r="D77" s="78"/>
      <c r="E77" s="78"/>
      <c r="F77" s="78" t="str">
        <f aca="false">IFERROR(__xludf.dummyfunction("""COMPUTED_VALUE"""),"")</f>
        <v/>
      </c>
      <c r="G77" s="78"/>
      <c r="H77" s="78"/>
      <c r="I77" s="78"/>
      <c r="J77" s="21" t="s">
        <v>24</v>
      </c>
      <c r="K77" s="85" t="n">
        <v>1</v>
      </c>
      <c r="L77" s="80" t="n">
        <f aca="false">K67</f>
        <v>17</v>
      </c>
      <c r="M77" s="5"/>
      <c r="N77" s="5"/>
      <c r="O77" s="5"/>
    </row>
    <row r="78" customFormat="false" ht="12.75" hidden="true" customHeight="false" outlineLevel="0" collapsed="false">
      <c r="A78" s="5"/>
      <c r="B78" s="78"/>
      <c r="C78" s="78"/>
      <c r="D78" s="78"/>
      <c r="E78" s="78"/>
      <c r="F78" s="78" t="str">
        <f aca="false">IFERROR(__xludf.dummyfunction("""COMPUTED_VALUE"""),"")</f>
        <v/>
      </c>
      <c r="G78" s="78"/>
      <c r="H78" s="78"/>
      <c r="I78" s="78"/>
      <c r="J78" s="21" t="s">
        <v>25</v>
      </c>
      <c r="K78" s="85" t="n">
        <v>18</v>
      </c>
      <c r="L78" s="80" t="n">
        <v>34</v>
      </c>
      <c r="M78" s="5"/>
      <c r="N78" s="5"/>
      <c r="O78" s="5"/>
    </row>
    <row r="79" customFormat="false" ht="12.75" hidden="true" customHeight="false" outlineLevel="0" collapsed="false">
      <c r="A79" s="5"/>
      <c r="B79" s="78"/>
      <c r="C79" s="78"/>
      <c r="D79" s="78"/>
      <c r="E79" s="78"/>
      <c r="F79" s="78" t="str">
        <f aca="false">IFERROR(__xludf.dummyfunction("""COMPUTED_VALUE"""),"")</f>
        <v/>
      </c>
      <c r="G79" s="78"/>
      <c r="H79" s="78"/>
      <c r="I79" s="78"/>
      <c r="J79" s="21" t="s">
        <v>26</v>
      </c>
      <c r="K79" s="85" t="n">
        <v>35</v>
      </c>
      <c r="L79" s="80" t="n">
        <v>50</v>
      </c>
      <c r="M79" s="5"/>
      <c r="N79" s="5"/>
      <c r="O79" s="5"/>
    </row>
    <row r="80" customFormat="false" ht="12.75" hidden="true" customHeight="false" outlineLevel="0" collapsed="false">
      <c r="A80" s="5"/>
      <c r="B80" s="78"/>
      <c r="C80" s="78"/>
      <c r="D80" s="78"/>
      <c r="E80" s="78"/>
      <c r="F80" s="78" t="str">
        <f aca="false">IFERROR(__xludf.dummyfunction("""COMPUTED_VALUE"""),"")</f>
        <v/>
      </c>
      <c r="G80" s="78"/>
      <c r="H80" s="78"/>
      <c r="I80" s="78"/>
      <c r="J80" s="21" t="s">
        <v>27</v>
      </c>
      <c r="K80" s="85" t="n">
        <v>51</v>
      </c>
      <c r="L80" s="80" t="n">
        <v>66</v>
      </c>
      <c r="M80" s="5"/>
      <c r="N80" s="5"/>
      <c r="O80" s="5"/>
    </row>
    <row r="81" customFormat="false" ht="12.75" hidden="true" customHeight="false" outlineLevel="0" collapsed="false">
      <c r="A81" s="5"/>
      <c r="B81" s="78"/>
      <c r="C81" s="78"/>
      <c r="D81" s="78"/>
      <c r="E81" s="78"/>
      <c r="F81" s="78" t="str">
        <f aca="false">IFERROR(__xludf.dummyfunction("""COMPUTED_VALUE"""),"")</f>
        <v/>
      </c>
      <c r="G81" s="78"/>
      <c r="H81" s="78"/>
      <c r="I81" s="78"/>
      <c r="J81" s="7" t="s">
        <v>28</v>
      </c>
      <c r="K81" s="85"/>
      <c r="L81" s="80"/>
      <c r="M81" s="5"/>
      <c r="N81" s="5"/>
      <c r="O81" s="5"/>
    </row>
    <row r="82" customFormat="false" ht="12.75" hidden="true" customHeight="false" outlineLevel="0" collapsed="false">
      <c r="A82" s="5"/>
      <c r="B82" s="86"/>
      <c r="C82" s="86"/>
      <c r="D82" s="86"/>
      <c r="E82" s="86"/>
      <c r="F82" s="78"/>
      <c r="G82" s="78"/>
      <c r="H82" s="78"/>
      <c r="I82" s="78"/>
      <c r="J82" s="5"/>
      <c r="K82" s="5"/>
      <c r="L82" s="5"/>
      <c r="M82" s="5"/>
      <c r="N82" s="5"/>
      <c r="O82" s="5"/>
    </row>
    <row r="83" customFormat="false" ht="12.75" hidden="true" customHeight="false" outlineLevel="0" collapsed="false">
      <c r="A83" s="5"/>
      <c r="B83" s="86"/>
      <c r="C83" s="86"/>
      <c r="D83" s="86"/>
      <c r="E83" s="86"/>
    </row>
    <row r="84" customFormat="false" ht="12.75" hidden="true" customHeight="false" outlineLevel="0" collapsed="false">
      <c r="A84" s="5"/>
      <c r="B84" s="86"/>
      <c r="C84" s="86"/>
      <c r="D84" s="86"/>
      <c r="E84" s="86"/>
      <c r="G84" s="87" t="s">
        <v>29</v>
      </c>
      <c r="H84" s="87"/>
      <c r="I84" s="87"/>
      <c r="J84" s="87"/>
      <c r="K84" s="87"/>
      <c r="L84" s="87"/>
      <c r="M84" s="87"/>
      <c r="N84" s="87"/>
      <c r="O84" s="87"/>
    </row>
    <row r="85" customFormat="false" ht="19.5" hidden="true" customHeight="true" outlineLevel="0" collapsed="false">
      <c r="A85" s="5"/>
      <c r="B85" s="86"/>
      <c r="C85" s="86"/>
      <c r="D85" s="86"/>
      <c r="E85" s="86"/>
      <c r="G85" s="80" t="s">
        <v>30</v>
      </c>
      <c r="H85" s="80"/>
      <c r="I85" s="80"/>
      <c r="J85" s="80" t="s">
        <v>31</v>
      </c>
      <c r="K85" s="80"/>
      <c r="L85" s="80"/>
      <c r="M85" s="80" t="s">
        <v>32</v>
      </c>
      <c r="N85" s="80"/>
      <c r="O85" s="80"/>
    </row>
    <row r="86" customFormat="false" ht="19.5" hidden="true" customHeight="true" outlineLevel="0" collapsed="false">
      <c r="A86" s="5"/>
      <c r="B86" s="86"/>
      <c r="C86" s="86"/>
      <c r="D86" s="86"/>
      <c r="E86" s="86"/>
      <c r="G86" s="88" t="str">
        <f aca="false">IFERROR(__xludf.dummyfunction("iferror(query(importrange(B$60, ""Workload!B7:D18""), ""select Col1 where Col2='"" &amp; B$8 &amp;""'""), """")"),"Computer Graphics")</f>
        <v>Computer Graphics</v>
      </c>
      <c r="H86" s="88"/>
      <c r="I86" s="88"/>
      <c r="J86" s="88" t="str">
        <f aca="false">IFERROR(__xludf.dummyfunction("iferror(query(importrange($B$60, ""Workload!B65:C72""), ""select Col1 where Col2='"" &amp; $B$8 &amp;""'""), """")"),"")</f>
        <v/>
      </c>
      <c r="K86" s="88"/>
      <c r="L86" s="88"/>
      <c r="M86" s="88" t="str">
        <f aca="false">IFERROR(__xludf.dummyfunction("iferror(query(importrange($B$60, ""Workload!F65:G76""), ""select Col1 where Col2='"" &amp; $B$8 &amp;""'""), """")"),"Computer Graphics Lab")</f>
        <v>Computer Graphics Lab</v>
      </c>
      <c r="N86" s="88"/>
      <c r="O86" s="88"/>
    </row>
    <row r="87" customFormat="false" ht="19.5" hidden="true" customHeight="true" outlineLevel="0" collapsed="false">
      <c r="A87" s="5"/>
      <c r="B87" s="86"/>
      <c r="C87" s="86"/>
      <c r="D87" s="86"/>
      <c r="E87" s="86"/>
      <c r="G87" s="89"/>
      <c r="H87" s="89"/>
      <c r="I87" s="89"/>
      <c r="J87" s="89"/>
      <c r="K87" s="89"/>
      <c r="L87" s="89"/>
      <c r="M87" s="89"/>
      <c r="N87" s="89"/>
      <c r="O87" s="89"/>
    </row>
    <row r="88" customFormat="false" ht="19.5" hidden="true" customHeight="true" outlineLevel="0" collapsed="false">
      <c r="A88" s="5"/>
      <c r="B88" s="86"/>
      <c r="C88" s="86"/>
      <c r="D88" s="86"/>
      <c r="E88" s="86"/>
      <c r="G88" s="89"/>
      <c r="H88" s="89"/>
      <c r="I88" s="89"/>
      <c r="J88" s="89"/>
      <c r="K88" s="89"/>
      <c r="L88" s="89"/>
      <c r="M88" s="89"/>
      <c r="N88" s="89"/>
      <c r="O88" s="89"/>
    </row>
    <row r="89" customFormat="false" ht="19.5" hidden="true" customHeight="true" outlineLevel="0" collapsed="false">
      <c r="A89" s="5"/>
      <c r="B89" s="86"/>
      <c r="C89" s="86"/>
      <c r="D89" s="86"/>
      <c r="E89" s="86"/>
      <c r="G89" s="89"/>
      <c r="H89" s="89"/>
      <c r="I89" s="89"/>
      <c r="J89" s="89"/>
      <c r="K89" s="89"/>
      <c r="L89" s="89"/>
      <c r="M89" s="89"/>
      <c r="N89" s="89"/>
      <c r="O89" s="89"/>
    </row>
    <row r="90" customFormat="false" ht="19.5" hidden="true" customHeight="true" outlineLevel="0" collapsed="false">
      <c r="A90" s="5"/>
      <c r="B90" s="78"/>
      <c r="C90" s="78"/>
      <c r="D90" s="78"/>
      <c r="E90" s="78"/>
      <c r="F90" s="90"/>
      <c r="G90" s="89"/>
      <c r="H90" s="89"/>
      <c r="I90" s="89"/>
      <c r="J90" s="89"/>
      <c r="K90" s="89"/>
      <c r="L90" s="89"/>
      <c r="M90" s="89"/>
      <c r="N90" s="89"/>
      <c r="O90" s="89"/>
    </row>
    <row r="91" customFormat="false" ht="19.5" hidden="true" customHeight="true" outlineLevel="0" collapsed="false">
      <c r="A91" s="5"/>
      <c r="B91" s="5"/>
      <c r="C91" s="5"/>
      <c r="D91" s="5"/>
      <c r="E91" s="13"/>
      <c r="F91" s="90"/>
      <c r="G91" s="89"/>
      <c r="H91" s="89"/>
      <c r="I91" s="89"/>
      <c r="J91" s="89"/>
      <c r="K91" s="89"/>
      <c r="L91" s="89"/>
      <c r="M91" s="89"/>
      <c r="N91" s="89"/>
      <c r="O91" s="89"/>
    </row>
    <row r="92" customFormat="false" ht="19.5" hidden="true" customHeight="true" outlineLevel="0" collapsed="false">
      <c r="A92" s="5"/>
      <c r="B92" s="5"/>
      <c r="C92" s="5"/>
      <c r="D92" s="5"/>
      <c r="E92" s="13"/>
      <c r="F92" s="90"/>
      <c r="M92" s="5"/>
      <c r="N92" s="5"/>
      <c r="O92" s="5"/>
    </row>
    <row r="93" customFormat="false" ht="12.75" hidden="true" customHeight="true" outlineLevel="0" collapsed="false">
      <c r="A93" s="5"/>
      <c r="B93" s="5"/>
      <c r="C93" s="5"/>
      <c r="D93" s="5"/>
      <c r="E93" s="13"/>
      <c r="F93" s="90"/>
      <c r="G93" s="91" t="s">
        <v>33</v>
      </c>
      <c r="H93" s="91"/>
      <c r="I93" s="91"/>
      <c r="J93" s="91"/>
      <c r="K93" s="91"/>
      <c r="L93" s="92"/>
      <c r="M93" s="5"/>
      <c r="N93" s="5"/>
      <c r="O93" s="5"/>
    </row>
    <row r="94" customFormat="false" ht="19.5" hidden="true" customHeight="true" outlineLevel="0" collapsed="false">
      <c r="A94" s="5"/>
      <c r="B94" s="5"/>
      <c r="C94" s="5"/>
      <c r="D94" s="5"/>
      <c r="E94" s="13"/>
      <c r="F94" s="90"/>
      <c r="G94" s="71" t="s">
        <v>34</v>
      </c>
      <c r="H94" s="71"/>
      <c r="I94" s="71"/>
      <c r="J94" s="71" t="s">
        <v>35</v>
      </c>
      <c r="K94" s="71" t="s">
        <v>36</v>
      </c>
      <c r="M94" s="5"/>
      <c r="N94" s="5"/>
      <c r="O94" s="5"/>
    </row>
    <row r="95" customFormat="false" ht="12.75" hidden="true" customHeight="false" outlineLevel="0" collapsed="false">
      <c r="A95" s="5"/>
      <c r="B95" s="5"/>
      <c r="C95" s="5"/>
      <c r="D95" s="5"/>
      <c r="E95" s="13"/>
      <c r="F95" s="90"/>
      <c r="G95" s="88" t="str">
        <f aca="false">IFERROR(__xludf.dummyfunction("importrange(B$60, ""Data!C61:C70"")"),"Engineering Mathematics - III")</f>
        <v>Engineering Mathematics - III</v>
      </c>
      <c r="H95" s="88"/>
      <c r="I95" s="88"/>
      <c r="J95" s="93" t="n">
        <f aca="false">IFERROR(__xludf.dummyfunction("importrange(B$60, ""Data!I61:I70"")"),7)</f>
        <v>7</v>
      </c>
      <c r="K95" s="93" t="n">
        <f aca="false">IFERROR(__xludf.dummyfunction("importrange(B$60, ""Data!J61:J70"")"),14)</f>
        <v>14</v>
      </c>
      <c r="M95" s="5"/>
      <c r="N95" s="5"/>
      <c r="O95" s="5"/>
    </row>
    <row r="96" customFormat="false" ht="12.75" hidden="true" customHeight="false" outlineLevel="0" collapsed="false">
      <c r="A96" s="5"/>
      <c r="B96" s="5"/>
      <c r="C96" s="5"/>
      <c r="D96" s="5"/>
      <c r="E96" s="13"/>
      <c r="F96" s="90"/>
      <c r="G96" s="89" t="str">
        <f aca="false">IFERROR(__xludf.dummyfunction("""COMPUTED_VALUE"""),"Computer Graphics")</f>
        <v>Computer Graphics</v>
      </c>
      <c r="H96" s="89"/>
      <c r="I96" s="89"/>
      <c r="J96" s="94" t="n">
        <f aca="false">IFERROR(__xludf.dummyfunction("""COMPUTED_VALUE"""),21)</f>
        <v>21</v>
      </c>
      <c r="K96" s="94" t="n">
        <f aca="false">IFERROR(__xludf.dummyfunction("""COMPUTED_VALUE"""),28)</f>
        <v>28</v>
      </c>
      <c r="M96" s="5"/>
      <c r="N96" s="5"/>
      <c r="O96" s="5"/>
    </row>
    <row r="97" customFormat="false" ht="12.75" hidden="true" customHeight="false" outlineLevel="0" collapsed="false">
      <c r="A97" s="5"/>
      <c r="B97" s="5"/>
      <c r="C97" s="5"/>
      <c r="D97" s="5"/>
      <c r="E97" s="13"/>
      <c r="F97" s="90"/>
      <c r="G97" s="89" t="str">
        <f aca="false">IFERROR(__xludf.dummyfunction("""COMPUTED_VALUE"""),"Advanced Data Structures")</f>
        <v>Advanced Data Structures</v>
      </c>
      <c r="H97" s="89"/>
      <c r="I97" s="89"/>
      <c r="J97" s="94" t="n">
        <f aca="false">IFERROR(__xludf.dummyfunction("""COMPUTED_VALUE"""),35)</f>
        <v>35</v>
      </c>
      <c r="K97" s="94" t="n">
        <f aca="false">IFERROR(__xludf.dummyfunction("""COMPUTED_VALUE"""),42)</f>
        <v>42</v>
      </c>
      <c r="M97" s="5"/>
      <c r="N97" s="5"/>
      <c r="O97" s="5"/>
    </row>
    <row r="98" customFormat="false" ht="12.75" hidden="true" customHeight="false" outlineLevel="0" collapsed="false">
      <c r="A98" s="5"/>
      <c r="B98" s="5"/>
      <c r="C98" s="5"/>
      <c r="D98" s="5"/>
      <c r="E98" s="13"/>
      <c r="F98" s="90"/>
      <c r="G98" s="89" t="str">
        <f aca="false">IFERROR(__xludf.dummyfunction("""COMPUTED_VALUE"""),"Microprocessor")</f>
        <v>Microprocessor</v>
      </c>
      <c r="H98" s="89"/>
      <c r="I98" s="89"/>
      <c r="J98" s="94" t="n">
        <f aca="false">IFERROR(__xludf.dummyfunction("""COMPUTED_VALUE"""),49)</f>
        <v>49</v>
      </c>
      <c r="K98" s="94" t="n">
        <f aca="false">IFERROR(__xludf.dummyfunction("""COMPUTED_VALUE"""),56)</f>
        <v>56</v>
      </c>
      <c r="M98" s="5"/>
      <c r="N98" s="5"/>
      <c r="O98" s="5"/>
    </row>
    <row r="99" customFormat="false" ht="12.75" hidden="true" customHeight="false" outlineLevel="0" collapsed="false">
      <c r="A99" s="5"/>
      <c r="B99" s="5"/>
      <c r="C99" s="5"/>
      <c r="D99" s="5"/>
      <c r="E99" s="13"/>
      <c r="F99" s="90"/>
      <c r="G99" s="89" t="str">
        <f aca="false">IFERROR(__xludf.dummyfunction("""COMPUTED_VALUE"""),"Principles of Programming Languages")</f>
        <v>Principles of Programming Languages</v>
      </c>
      <c r="H99" s="89"/>
      <c r="I99" s="89"/>
      <c r="J99" s="94" t="n">
        <f aca="false">IFERROR(__xludf.dummyfunction("""COMPUTED_VALUE"""),63)</f>
        <v>63</v>
      </c>
      <c r="K99" s="94" t="n">
        <f aca="false">IFERROR(__xludf.dummyfunction("""COMPUTED_VALUE"""),70)</f>
        <v>70</v>
      </c>
      <c r="M99" s="5"/>
      <c r="N99" s="5"/>
      <c r="O99" s="5"/>
    </row>
    <row r="100" customFormat="false" ht="12.75" hidden="true" customHeight="false" outlineLevel="0" collapsed="false">
      <c r="A100" s="5"/>
      <c r="B100" s="5"/>
      <c r="C100" s="5"/>
      <c r="D100" s="5"/>
      <c r="E100" s="13"/>
      <c r="F100" s="90"/>
      <c r="G100" s="89" t="str">
        <f aca="false">IFERROR(__xludf.dummyfunction("""COMPUTED_VALUE"""),"")</f>
        <v/>
      </c>
      <c r="H100" s="89"/>
      <c r="I100" s="89"/>
      <c r="J100" s="94" t="n">
        <f aca="false">IFERROR(__xludf.dummyfunction("""COMPUTED_VALUE"""),77)</f>
        <v>77</v>
      </c>
      <c r="K100" s="94" t="n">
        <f aca="false">IFERROR(__xludf.dummyfunction("""COMPUTED_VALUE"""),84)</f>
        <v>84</v>
      </c>
      <c r="M100" s="5"/>
      <c r="N100" s="5"/>
      <c r="O100" s="5"/>
    </row>
    <row r="101" customFormat="false" ht="12.75" hidden="true" customHeight="false" outlineLevel="0" collapsed="false">
      <c r="A101" s="5"/>
      <c r="B101" s="5"/>
      <c r="C101" s="5"/>
      <c r="D101" s="5"/>
      <c r="E101" s="13"/>
      <c r="F101" s="90"/>
      <c r="G101" s="89" t="str">
        <f aca="false">IFERROR(__xludf.dummyfunction("""COMPUTED_VALUE"""),"")</f>
        <v/>
      </c>
      <c r="H101" s="89"/>
      <c r="I101" s="89"/>
      <c r="J101" s="94" t="n">
        <f aca="false">IFERROR(__xludf.dummyfunction("""COMPUTED_VALUE"""),91)</f>
        <v>91</v>
      </c>
      <c r="K101" s="94" t="n">
        <f aca="false">IFERROR(__xludf.dummyfunction("""COMPUTED_VALUE"""),96)</f>
        <v>96</v>
      </c>
      <c r="M101" s="5"/>
      <c r="N101" s="5"/>
      <c r="O101" s="5"/>
    </row>
    <row r="102" customFormat="false" ht="12.75" hidden="true" customHeight="false" outlineLevel="0" collapsed="false">
      <c r="A102" s="5"/>
      <c r="B102" s="5"/>
      <c r="C102" s="5"/>
      <c r="D102" s="5"/>
      <c r="E102" s="13"/>
      <c r="F102" s="90"/>
      <c r="G102" s="89" t="str">
        <f aca="false">IFERROR(__xludf.dummyfunction("""COMPUTED_VALUE"""),"")</f>
        <v/>
      </c>
      <c r="H102" s="89"/>
      <c r="I102" s="89"/>
      <c r="J102" s="94" t="n">
        <f aca="false">IFERROR(__xludf.dummyfunction("""COMPUTED_VALUE"""),105)</f>
        <v>105</v>
      </c>
      <c r="K102" s="94" t="n">
        <f aca="false">IFERROR(__xludf.dummyfunction("""COMPUTED_VALUE"""),111)</f>
        <v>111</v>
      </c>
      <c r="M102" s="5"/>
      <c r="N102" s="5"/>
      <c r="O102" s="5"/>
    </row>
    <row r="103" customFormat="false" ht="12.75" hidden="true" customHeight="false" outlineLevel="0" collapsed="false">
      <c r="A103" s="5"/>
      <c r="B103" s="5"/>
      <c r="C103" s="5"/>
      <c r="D103" s="5"/>
      <c r="E103" s="13"/>
      <c r="F103" s="90"/>
      <c r="G103" s="89" t="str">
        <f aca="false">IFERROR(__xludf.dummyfunction("""COMPUTED_VALUE"""),"")</f>
        <v/>
      </c>
      <c r="H103" s="89"/>
      <c r="I103" s="89"/>
      <c r="J103" s="94" t="str">
        <f aca="false">IFERROR(__xludf.dummyfunction("""COMPUTED_VALUE"""),"")</f>
        <v/>
      </c>
      <c r="K103" s="94" t="str">
        <f aca="false">IFERROR(__xludf.dummyfunction("""COMPUTED_VALUE"""),"")</f>
        <v/>
      </c>
      <c r="M103" s="5"/>
      <c r="N103" s="5"/>
      <c r="O103" s="5"/>
    </row>
    <row r="104" customFormat="false" ht="12.75" hidden="true" customHeight="false" outlineLevel="0" collapsed="false">
      <c r="A104" s="5"/>
      <c r="B104" s="5"/>
      <c r="C104" s="5"/>
      <c r="D104" s="5"/>
      <c r="E104" s="13"/>
      <c r="F104" s="90"/>
      <c r="G104" s="89" t="str">
        <f aca="false">IFERROR(__xludf.dummyfunction("""COMPUTED_VALUE"""),"")</f>
        <v/>
      </c>
      <c r="H104" s="89"/>
      <c r="I104" s="89"/>
      <c r="J104" s="94" t="str">
        <f aca="false">IFERROR(__xludf.dummyfunction("""COMPUTED_VALUE"""),"")</f>
        <v/>
      </c>
      <c r="K104" s="94" t="str">
        <f aca="false">IFERROR(__xludf.dummyfunction("""COMPUTED_VALUE"""),"")</f>
        <v/>
      </c>
      <c r="M104" s="5"/>
      <c r="N104" s="5"/>
      <c r="O104" s="5"/>
    </row>
    <row r="105" customFormat="false" ht="19.5" hidden="true" customHeight="true" outlineLevel="0" collapsed="false"/>
    <row r="106" customFormat="false" ht="15.75" hidden="true" customHeight="true" outlineLevel="0" collapsed="false"/>
    <row r="107" customFormat="false" ht="15.75" hidden="true" customHeight="true" outlineLevel="0" collapsed="false"/>
    <row r="108" customFormat="false" ht="15.75" hidden="true" customHeight="true" outlineLevel="0" collapsed="false"/>
    <row r="109" customFormat="false" ht="15.75" hidden="true" customHeight="true" outlineLevel="0" collapsed="false"/>
    <row r="110" customFormat="false" ht="15.75" hidden="true" customHeight="true" outlineLevel="0" collapsed="false"/>
    <row r="111" customFormat="false" ht="15.75" hidden="true" customHeight="true" outlineLevel="0" collapsed="false"/>
    <row r="112" customFormat="false" ht="15.75" hidden="true" customHeight="true" outlineLevel="0" collapsed="false"/>
    <row r="113" customFormat="false" ht="15.75" hidden="true" customHeight="true" outlineLevel="0" collapsed="false"/>
    <row r="114" customFormat="false" ht="15.75" hidden="true" customHeight="true" outlineLevel="0" collapsed="false"/>
    <row r="115" customFormat="false" ht="15.75" hidden="true" customHeight="true" outlineLevel="0" collapsed="false"/>
    <row r="116" customFormat="false" ht="15.75" hidden="true" customHeight="true" outlineLevel="0" collapsed="false"/>
    <row r="117" customFormat="false" ht="15.75" hidden="true" customHeight="true" outlineLevel="0" collapsed="false"/>
    <row r="118" customFormat="false" ht="15.75" hidden="true" customHeight="true" outlineLevel="0" collapsed="false"/>
    <row r="119" customFormat="false" ht="15.75" hidden="true" customHeight="true" outlineLevel="0" collapsed="false"/>
    <row r="120" customFormat="false" ht="15.75" hidden="true" customHeight="true" outlineLevel="0" collapsed="false"/>
    <row r="121" customFormat="false" ht="15.75" hidden="true" customHeight="true" outlineLevel="0" collapsed="false"/>
    <row r="122" customFormat="false" ht="15.75" hidden="true" customHeight="true" outlineLevel="0" collapsed="false"/>
    <row r="123" customFormat="false" ht="15.75" hidden="true" customHeight="true" outlineLevel="0" collapsed="false"/>
    <row r="124" customFormat="false" ht="15.75" hidden="true" customHeight="true" outlineLevel="0" collapsed="false"/>
    <row r="125" customFormat="false" ht="15.75" hidden="true" customHeight="true" outlineLevel="0" collapsed="false"/>
    <row r="126" customFormat="false" ht="15.75" hidden="true" customHeight="true" outlineLevel="0" collapsed="false"/>
    <row r="127" customFormat="false" ht="15.75" hidden="true" customHeight="true" outlineLevel="0" collapsed="false"/>
    <row r="128" customFormat="false" ht="15.75" hidden="true" customHeight="true" outlineLevel="0" collapsed="false"/>
    <row r="129" customFormat="false" ht="15.75" hidden="true" customHeight="true" outlineLevel="0" collapsed="false"/>
    <row r="130" customFormat="false" ht="15.75" hidden="true" customHeight="true" outlineLevel="0" collapsed="false"/>
    <row r="131" customFormat="false" ht="15.75" hidden="true" customHeight="true" outlineLevel="0" collapsed="false"/>
    <row r="132" customFormat="false" ht="15.75" hidden="true" customHeight="true" outlineLevel="0" collapsed="false"/>
    <row r="133" customFormat="false" ht="15.75" hidden="true" customHeight="true" outlineLevel="0" collapsed="false"/>
    <row r="134" customFormat="false" ht="15.75" hidden="true" customHeight="true" outlineLevel="0" collapsed="false"/>
  </sheetData>
  <mergeCells count="114">
    <mergeCell ref="A1:N1"/>
    <mergeCell ref="A2:N2"/>
    <mergeCell ref="B5:C5"/>
    <mergeCell ref="D5:I5"/>
    <mergeCell ref="B6:C6"/>
    <mergeCell ref="B7:C7"/>
    <mergeCell ref="B8:G8"/>
    <mergeCell ref="B9:G9"/>
    <mergeCell ref="K9:O9"/>
    <mergeCell ref="B10:G10"/>
    <mergeCell ref="B11:G11"/>
    <mergeCell ref="B12:G12"/>
    <mergeCell ref="B13:G13"/>
    <mergeCell ref="B14:G14"/>
    <mergeCell ref="H15:I15"/>
    <mergeCell ref="B17:O17"/>
    <mergeCell ref="B18:C18"/>
    <mergeCell ref="J18:K18"/>
    <mergeCell ref="L18:O18"/>
    <mergeCell ref="B19:C19"/>
    <mergeCell ref="B28:O28"/>
    <mergeCell ref="B29:O29"/>
    <mergeCell ref="B30:O30"/>
    <mergeCell ref="B59:N59"/>
    <mergeCell ref="B60:N60"/>
    <mergeCell ref="B62:N62"/>
    <mergeCell ref="B63:N63"/>
    <mergeCell ref="B65:E65"/>
    <mergeCell ref="F65:I65"/>
    <mergeCell ref="L65:N65"/>
    <mergeCell ref="B66:E66"/>
    <mergeCell ref="F66:I66"/>
    <mergeCell ref="L66:N66"/>
    <mergeCell ref="B67:E67"/>
    <mergeCell ref="F67:I67"/>
    <mergeCell ref="L67:N67"/>
    <mergeCell ref="B68:E68"/>
    <mergeCell ref="F68:I68"/>
    <mergeCell ref="L68:N68"/>
    <mergeCell ref="B69:E69"/>
    <mergeCell ref="F69:I69"/>
    <mergeCell ref="L69:N69"/>
    <mergeCell ref="B70:E70"/>
    <mergeCell ref="F70:I70"/>
    <mergeCell ref="L70:N70"/>
    <mergeCell ref="B71:E71"/>
    <mergeCell ref="F71:I71"/>
    <mergeCell ref="L71:N71"/>
    <mergeCell ref="B72:E72"/>
    <mergeCell ref="F72:I72"/>
    <mergeCell ref="B73:E73"/>
    <mergeCell ref="F73:I73"/>
    <mergeCell ref="K73:N73"/>
    <mergeCell ref="B74:E74"/>
    <mergeCell ref="F74:I74"/>
    <mergeCell ref="B75:E75"/>
    <mergeCell ref="F75:I75"/>
    <mergeCell ref="K75:L75"/>
    <mergeCell ref="B76:E76"/>
    <mergeCell ref="F76:I76"/>
    <mergeCell ref="B77:E77"/>
    <mergeCell ref="F77:I77"/>
    <mergeCell ref="B78:E78"/>
    <mergeCell ref="F78:I78"/>
    <mergeCell ref="B79:E79"/>
    <mergeCell ref="F79:I79"/>
    <mergeCell ref="B80:E80"/>
    <mergeCell ref="F80:I80"/>
    <mergeCell ref="B81:E81"/>
    <mergeCell ref="F81:I81"/>
    <mergeCell ref="B82:E82"/>
    <mergeCell ref="F82:I82"/>
    <mergeCell ref="B83:E83"/>
    <mergeCell ref="B84:E84"/>
    <mergeCell ref="G84:O84"/>
    <mergeCell ref="B85:E85"/>
    <mergeCell ref="G85:I85"/>
    <mergeCell ref="J85:L85"/>
    <mergeCell ref="M85:O85"/>
    <mergeCell ref="B86:E86"/>
    <mergeCell ref="G86:I86"/>
    <mergeCell ref="J86:L86"/>
    <mergeCell ref="M86:O86"/>
    <mergeCell ref="B87:E87"/>
    <mergeCell ref="G87:I87"/>
    <mergeCell ref="J87:L87"/>
    <mergeCell ref="M87:O87"/>
    <mergeCell ref="B88:E88"/>
    <mergeCell ref="G88:I88"/>
    <mergeCell ref="J88:L88"/>
    <mergeCell ref="M88:O88"/>
    <mergeCell ref="B89:E89"/>
    <mergeCell ref="G89:I89"/>
    <mergeCell ref="J89:L89"/>
    <mergeCell ref="M89:O89"/>
    <mergeCell ref="B90:E90"/>
    <mergeCell ref="G90:I90"/>
    <mergeCell ref="J90:L90"/>
    <mergeCell ref="M90:O90"/>
    <mergeCell ref="G91:I91"/>
    <mergeCell ref="J91:L91"/>
    <mergeCell ref="M91:O91"/>
    <mergeCell ref="G93:K93"/>
    <mergeCell ref="G94:I94"/>
    <mergeCell ref="G95:I95"/>
    <mergeCell ref="G96:I96"/>
    <mergeCell ref="G97:I97"/>
    <mergeCell ref="G98:I98"/>
    <mergeCell ref="G99:I99"/>
    <mergeCell ref="G100:I100"/>
    <mergeCell ref="G101:I101"/>
    <mergeCell ref="G102:I102"/>
    <mergeCell ref="G103:I103"/>
    <mergeCell ref="G104:I104"/>
  </mergeCells>
  <dataValidations count="3">
    <dataValidation allowBlank="true" operator="between" showDropDown="false" showErrorMessage="true" showInputMessage="false" sqref="B7" type="list">
      <formula1>$B$25:$K$25</formula1>
      <formula2>0</formula2>
    </dataValidation>
    <dataValidation allowBlank="true" operator="between" showDropDown="false" showErrorMessage="true" showInputMessage="false" sqref="B5" type="list">
      <formula1>$B$20:$J$20</formula1>
      <formula2>0</formula2>
    </dataValidation>
    <dataValidation allowBlank="true" operator="between" showDropDown="false" showErrorMessage="true" showInputMessage="false" sqref="B6" type="list">
      <formula1>$B$24:$H$24</formula1>
      <formula2>0</formula2>
    </dataValidation>
  </dataValidations>
  <printOptions headings="false" gridLines="false" gridLinesSet="true" horizontalCentered="false" verticalCentered="false"/>
  <pageMargins left="0.6" right="0.3" top="0.3" bottom="0.3"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rowBreaks count="1" manualBreakCount="1">
    <brk id="50" man="true" max="16383" min="0"/>
  </rowBreaks>
  <colBreaks count="1" manualBreakCount="1">
    <brk id="15"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L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8"/>
    <col collapsed="false" customWidth="true" hidden="false" outlineLevel="0" max="2" min="2" style="0" width="13.14"/>
    <col collapsed="false" customWidth="true" hidden="false" outlineLevel="0" max="11" min="3" style="0" width="7.86"/>
    <col collapsed="false" customWidth="true" hidden="false" outlineLevel="0" max="12" min="12" style="0" width="4.86"/>
    <col collapsed="false" customWidth="true" hidden="false" outlineLevel="0" max="1025" min="13" style="0" width="14.43"/>
  </cols>
  <sheetData>
    <row r="1" customFormat="false" ht="123" hidden="false" customHeight="true" outlineLevel="0" collapsed="false">
      <c r="A1" s="95"/>
      <c r="B1" s="96" t="str">
        <f aca="false">Data!A1</f>
        <v>Vidya Pratishthan’s Kamalnayan Bajaj Institute of Engineering &amp; Technology, Baramati</v>
      </c>
      <c r="C1" s="96"/>
      <c r="D1" s="96"/>
      <c r="E1" s="96"/>
      <c r="F1" s="96"/>
      <c r="G1" s="96"/>
      <c r="H1" s="96"/>
      <c r="I1" s="96"/>
      <c r="J1" s="96"/>
      <c r="K1" s="96"/>
      <c r="L1" s="96"/>
    </row>
    <row r="2" customFormat="false" ht="60.75" hidden="false" customHeight="true" outlineLevel="0" collapsed="false">
      <c r="A2" s="97"/>
      <c r="B2" s="98" t="str">
        <f aca="false">"Department of " &amp; Data!D5</f>
        <v>Department of Information Technology</v>
      </c>
      <c r="C2" s="98"/>
      <c r="D2" s="98"/>
      <c r="E2" s="98"/>
      <c r="F2" s="98"/>
      <c r="G2" s="98"/>
      <c r="H2" s="98"/>
      <c r="I2" s="98"/>
      <c r="J2" s="98"/>
      <c r="K2" s="98"/>
      <c r="L2" s="98"/>
    </row>
    <row r="3" customFormat="false" ht="174.75" hidden="false" customHeight="true" outlineLevel="0" collapsed="false">
      <c r="A3" s="99"/>
      <c r="B3" s="100"/>
      <c r="C3" s="100"/>
      <c r="D3" s="100"/>
      <c r="E3" s="100"/>
      <c r="F3" s="100"/>
      <c r="G3" s="100"/>
      <c r="H3" s="100"/>
      <c r="I3" s="100"/>
      <c r="J3" s="100"/>
      <c r="K3" s="100"/>
      <c r="L3" s="101"/>
    </row>
    <row r="4" customFormat="false" ht="56.25" hidden="false" customHeight="true" outlineLevel="0" collapsed="false">
      <c r="A4" s="102" t="s">
        <v>37</v>
      </c>
      <c r="B4" s="102"/>
      <c r="C4" s="102"/>
      <c r="D4" s="102"/>
      <c r="E4" s="102"/>
      <c r="F4" s="102"/>
      <c r="G4" s="102"/>
      <c r="H4" s="102"/>
      <c r="I4" s="102"/>
      <c r="J4" s="102"/>
      <c r="K4" s="102"/>
      <c r="L4" s="102"/>
    </row>
    <row r="5" customFormat="false" ht="41.25" hidden="false" customHeight="true" outlineLevel="0" collapsed="false">
      <c r="A5" s="103" t="str">
        <f aca="false">Data!B19 &amp; " Semester, " &amp; Data!B18</f>
        <v>First Semester, 2019-20</v>
      </c>
      <c r="B5" s="103"/>
      <c r="C5" s="103"/>
      <c r="D5" s="103"/>
      <c r="E5" s="103"/>
      <c r="F5" s="103"/>
      <c r="G5" s="103"/>
      <c r="H5" s="103"/>
      <c r="I5" s="103"/>
      <c r="J5" s="103"/>
      <c r="K5" s="103"/>
      <c r="L5" s="103"/>
    </row>
    <row r="6" customFormat="false" ht="174" hidden="false" customHeight="true" outlineLevel="0" collapsed="false">
      <c r="A6" s="104"/>
      <c r="B6" s="4"/>
      <c r="C6" s="4"/>
      <c r="D6" s="4"/>
      <c r="E6" s="4"/>
      <c r="F6" s="4"/>
      <c r="G6" s="4"/>
      <c r="H6" s="4"/>
      <c r="I6" s="4"/>
      <c r="J6" s="5"/>
      <c r="K6" s="5"/>
      <c r="L6" s="105"/>
    </row>
    <row r="7" customFormat="false" ht="29.25" hidden="false" customHeight="true" outlineLevel="0" collapsed="false">
      <c r="A7" s="106" t="s">
        <v>38</v>
      </c>
      <c r="B7" s="106"/>
      <c r="C7" s="107" t="str">
        <f aca="false">Data!B6</f>
        <v>SE</v>
      </c>
      <c r="D7" s="107"/>
      <c r="E7" s="107"/>
      <c r="F7" s="108"/>
      <c r="G7" s="109"/>
      <c r="H7" s="110" t="s">
        <v>39</v>
      </c>
      <c r="I7" s="107"/>
      <c r="J7" s="107"/>
      <c r="K7" s="107"/>
      <c r="L7" s="111"/>
    </row>
    <row r="8" customFormat="false" ht="29.25" hidden="false" customHeight="true" outlineLevel="0" collapsed="false">
      <c r="A8" s="106" t="s">
        <v>40</v>
      </c>
      <c r="B8" s="106"/>
      <c r="C8" s="112" t="str">
        <f aca="false">Data!B8</f>
        <v>Mr. D. S. Gaikwad </v>
      </c>
      <c r="D8" s="112"/>
      <c r="E8" s="112"/>
      <c r="F8" s="112"/>
      <c r="G8" s="112"/>
      <c r="H8" s="112"/>
      <c r="I8" s="112"/>
      <c r="J8" s="112"/>
      <c r="K8" s="112"/>
      <c r="L8" s="113"/>
    </row>
    <row r="9" customFormat="false" ht="29.25" hidden="false" customHeight="true" outlineLevel="0" collapsed="false">
      <c r="A9" s="114"/>
      <c r="B9" s="110" t="s">
        <v>41</v>
      </c>
      <c r="C9" s="115" t="str">
        <f aca="false">Data!B9</f>
        <v>Problem Solving and Object Oriented programming</v>
      </c>
      <c r="D9" s="115"/>
      <c r="E9" s="115"/>
      <c r="F9" s="115"/>
      <c r="G9" s="115"/>
      <c r="H9" s="115"/>
      <c r="I9" s="115"/>
      <c r="J9" s="115"/>
      <c r="K9" s="115"/>
      <c r="L9" s="116"/>
    </row>
    <row r="10" customFormat="false" ht="31.5" hidden="false" customHeight="true" outlineLevel="0" collapsed="false">
      <c r="A10" s="117"/>
      <c r="B10" s="118"/>
      <c r="C10" s="119"/>
      <c r="D10" s="119"/>
      <c r="E10" s="119"/>
      <c r="F10" s="119"/>
      <c r="G10" s="119"/>
      <c r="H10" s="119"/>
      <c r="I10" s="119"/>
      <c r="J10" s="119"/>
      <c r="K10" s="119"/>
      <c r="L10" s="120"/>
    </row>
    <row r="11" customFormat="false" ht="57.75" hidden="false" customHeight="true" outlineLevel="0" collapsed="false">
      <c r="A11" s="121"/>
      <c r="B11" s="122"/>
      <c r="C11" s="122"/>
      <c r="D11" s="122"/>
      <c r="E11" s="122"/>
      <c r="F11" s="122"/>
      <c r="G11" s="122"/>
      <c r="H11" s="122"/>
      <c r="I11" s="123"/>
      <c r="J11" s="123"/>
      <c r="K11" s="124"/>
      <c r="L11" s="125"/>
    </row>
  </sheetData>
  <mergeCells count="10">
    <mergeCell ref="B1:L1"/>
    <mergeCell ref="B2:L2"/>
    <mergeCell ref="A4:L4"/>
    <mergeCell ref="A5:L5"/>
    <mergeCell ref="A7:B7"/>
    <mergeCell ref="A8:B8"/>
    <mergeCell ref="C8:K8"/>
    <mergeCell ref="C9:K9"/>
    <mergeCell ref="C10:K10"/>
    <mergeCell ref="I11:J11"/>
  </mergeCells>
  <printOptions headings="false" gridLines="false" gridLinesSet="true" horizontalCentered="false" verticalCentered="false"/>
  <pageMargins left="0.7" right="0.5" top="0.5" bottom="0.5"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J4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3.99"/>
    <col collapsed="false" customWidth="true" hidden="false" outlineLevel="0" max="2" min="2" style="0" width="28.86"/>
    <col collapsed="false" customWidth="true" hidden="false" outlineLevel="0" max="5" min="3" style="0" width="19.57"/>
    <col collapsed="false" customWidth="true" hidden="false" outlineLevel="0" max="6" min="6" style="0" width="27.58"/>
    <col collapsed="false" customWidth="true" hidden="false" outlineLevel="0" max="1025" min="7" style="0" width="14.43"/>
  </cols>
  <sheetData>
    <row r="1" customFormat="false" ht="16.5" hidden="false" customHeight="false" outlineLevel="0" collapsed="false">
      <c r="A1" s="126"/>
      <c r="B1" s="127" t="str">
        <f aca="false">[1]Data!A1</f>
        <v>Vidya Pratishthan’s Kamalnayan Bajaj Institute of Engineering &amp; Technology, Baramati</v>
      </c>
      <c r="C1" s="127"/>
      <c r="D1" s="127"/>
      <c r="E1" s="127"/>
      <c r="F1" s="127"/>
    </row>
    <row r="2" customFormat="false" ht="20.25" hidden="false" customHeight="true" outlineLevel="0" collapsed="false">
      <c r="A2" s="128"/>
      <c r="B2" s="129" t="s">
        <v>42</v>
      </c>
      <c r="C2" s="129"/>
      <c r="D2" s="129"/>
      <c r="E2" s="129"/>
      <c r="F2" s="129"/>
    </row>
    <row r="3" customFormat="false" ht="16.5" hidden="false" customHeight="false" outlineLevel="0" collapsed="false">
      <c r="A3" s="126"/>
      <c r="B3" s="127" t="str">
        <f aca="false">"(" &amp; [1]Data!D5 &amp; ")"</f>
        <v>(Information Technology)</v>
      </c>
      <c r="C3" s="127"/>
      <c r="D3" s="127"/>
      <c r="E3" s="127"/>
      <c r="F3" s="127"/>
    </row>
    <row r="4" customFormat="false" ht="12.75" hidden="false" customHeight="false" outlineLevel="0" collapsed="false">
      <c r="A4" s="130"/>
      <c r="B4" s="130"/>
      <c r="C4" s="130"/>
      <c r="D4" s="130"/>
      <c r="E4" s="130"/>
      <c r="F4" s="130"/>
    </row>
    <row r="5" customFormat="false" ht="12.75" hidden="false" customHeight="false" outlineLevel="0" collapsed="false">
      <c r="A5" s="130"/>
      <c r="B5" s="130"/>
      <c r="C5" s="130"/>
      <c r="D5" s="130"/>
      <c r="E5" s="130"/>
      <c r="F5" s="130"/>
    </row>
    <row r="6" customFormat="false" ht="15" hidden="false" customHeight="false" outlineLevel="0" collapsed="false">
      <c r="A6" s="131" t="str">
        <f aca="false">IFERROR(__xludf.dummyfunction("importrange(Data!B24, ""VM_PO!A5:B12"")"),"Vision")</f>
        <v>Vision</v>
      </c>
      <c r="B6" s="131"/>
      <c r="C6" s="132"/>
      <c r="D6" s="132"/>
      <c r="E6" s="132"/>
      <c r="F6" s="132"/>
    </row>
    <row r="7" customFormat="false" ht="12.75" hidden="false" customHeight="false" outlineLevel="0" collapsed="false">
      <c r="A7" s="133" t="str">
        <f aca="false">IFERROR(__xludf.dummyfunction("""COMPUTED_VALUE"""),"")</f>
        <v/>
      </c>
      <c r="B7" s="134" t="str">
        <f aca="false">IFERROR(__xludf.dummyfunction("""COMPUTED_VALUE"""),"To develop globally competent IT professionals through continuous learning")</f>
        <v>To develop globally competent IT professionals through continuous learning</v>
      </c>
      <c r="C7" s="134"/>
      <c r="D7" s="134"/>
      <c r="E7" s="134"/>
      <c r="F7" s="134"/>
    </row>
    <row r="8" customFormat="false" ht="12.75" hidden="false" customHeight="false" outlineLevel="0" collapsed="false">
      <c r="A8" s="132" t="str">
        <f aca="false">IFERROR(__xludf.dummyfunction("""COMPUTED_VALUE"""),"")</f>
        <v/>
      </c>
      <c r="B8" s="132" t="str">
        <f aca="false">IFERROR(__xludf.dummyfunction("""COMPUTED_VALUE"""),"")</f>
        <v/>
      </c>
      <c r="C8" s="135"/>
      <c r="D8" s="135"/>
      <c r="E8" s="135"/>
      <c r="F8" s="135"/>
    </row>
    <row r="9" customFormat="false" ht="15" hidden="false" customHeight="false" outlineLevel="0" collapsed="false">
      <c r="A9" s="131" t="str">
        <f aca="false">IFERROR(__xludf.dummyfunction("""COMPUTED_VALUE"""),"Mission")</f>
        <v>Mission</v>
      </c>
      <c r="B9" s="131"/>
      <c r="C9" s="132"/>
      <c r="D9" s="132"/>
      <c r="E9" s="132"/>
      <c r="F9" s="132"/>
    </row>
    <row r="10" customFormat="false" ht="14.25" hidden="false" customHeight="false" outlineLevel="0" collapsed="false">
      <c r="A10" s="136" t="n">
        <f aca="false">IFERROR(__xludf.dummyfunction("""COMPUTED_VALUE"""),1)</f>
        <v>1</v>
      </c>
      <c r="B10" s="134" t="str">
        <f aca="false">IFERROR(__xludf.dummyfunction("""COMPUTED_VALUE"""),"To provide graduates with the programming skills and domain knowledge.")</f>
        <v>To provide graduates with the programming skills and domain knowledge.</v>
      </c>
      <c r="C10" s="134"/>
      <c r="D10" s="134"/>
      <c r="E10" s="134"/>
      <c r="F10" s="134"/>
    </row>
    <row r="11" customFormat="false" ht="14.25" hidden="false" customHeight="false" outlineLevel="0" collapsed="false">
      <c r="A11" s="137" t="n">
        <f aca="false">IFERROR(__xludf.dummyfunction("""COMPUTED_VALUE"""),2)</f>
        <v>2</v>
      </c>
      <c r="B11" s="138" t="str">
        <f aca="false">IFERROR(__xludf.dummyfunction("""COMPUTED_VALUE"""),"To collaborate with local, state, national, and international entities in education.")</f>
        <v>To collaborate with local, state, national, and international entities in education.</v>
      </c>
      <c r="C11" s="138"/>
      <c r="D11" s="138"/>
      <c r="E11" s="138"/>
      <c r="F11" s="138"/>
    </row>
    <row r="12" customFormat="false" ht="14.25" hidden="false" customHeight="false" outlineLevel="0" collapsed="false">
      <c r="A12" s="136" t="n">
        <f aca="false">IFERROR(__xludf.dummyfunction("""COMPUTED_VALUE"""),3)</f>
        <v>3</v>
      </c>
      <c r="B12" s="139" t="str">
        <f aca="false">IFERROR(__xludf.dummyfunction("""COMPUTED_VALUE"""),"To develop technically competent professionals with social values and ethics.")</f>
        <v>To develop technically competent professionals with social values and ethics.</v>
      </c>
      <c r="C12" s="139"/>
      <c r="D12" s="139"/>
      <c r="E12" s="139"/>
      <c r="F12" s="139"/>
    </row>
    <row r="13" customFormat="false" ht="14.25" hidden="false" customHeight="false" outlineLevel="0" collapsed="false">
      <c r="A13" s="136" t="n">
        <f aca="false">IFERROR(__xludf.dummyfunction("""COMPUTED_VALUE"""),4)</f>
        <v>4</v>
      </c>
      <c r="B13" s="139" t="str">
        <f aca="false">IFERROR(__xludf.dummyfunction("""COMPUTED_VALUE"""),"To encourage faculty to acquire state-of-the art knowledge.")</f>
        <v>To encourage faculty to acquire state-of-the art knowledge.</v>
      </c>
      <c r="C13" s="139"/>
      <c r="D13" s="139"/>
      <c r="E13" s="139"/>
      <c r="F13" s="139"/>
    </row>
    <row r="14" customFormat="false" ht="15" hidden="false" customHeight="false" outlineLevel="0" collapsed="false">
      <c r="A14" s="140"/>
      <c r="B14" s="140"/>
      <c r="C14" s="140"/>
      <c r="D14" s="141"/>
      <c r="E14" s="141"/>
      <c r="F14" s="141"/>
    </row>
    <row r="15" customFormat="false" ht="15" hidden="false" customHeight="false" outlineLevel="0" collapsed="false">
      <c r="A15" s="142" t="s">
        <v>43</v>
      </c>
      <c r="B15" s="142"/>
      <c r="C15" s="132"/>
      <c r="D15" s="132"/>
      <c r="E15" s="132"/>
      <c r="F15" s="132"/>
    </row>
    <row r="16" customFormat="false" ht="37.5" hidden="false" customHeight="true" outlineLevel="0" collapsed="false">
      <c r="A16" s="143" t="n">
        <v>1</v>
      </c>
      <c r="B16" s="144" t="s">
        <v>44</v>
      </c>
      <c r="C16" s="144"/>
      <c r="D16" s="144"/>
      <c r="E16" s="144"/>
      <c r="F16" s="144"/>
    </row>
    <row r="17" customFormat="false" ht="36.75" hidden="false" customHeight="true" outlineLevel="0" collapsed="false">
      <c r="A17" s="145" t="n">
        <v>2</v>
      </c>
      <c r="B17" s="138" t="s">
        <v>45</v>
      </c>
      <c r="C17" s="138"/>
      <c r="D17" s="138"/>
      <c r="E17" s="138"/>
      <c r="F17" s="138"/>
    </row>
    <row r="18" customFormat="false" ht="29.25" hidden="false" customHeight="true" outlineLevel="0" collapsed="false">
      <c r="A18" s="143" t="n">
        <v>3</v>
      </c>
      <c r="B18" s="139" t="s">
        <v>46</v>
      </c>
      <c r="C18" s="139"/>
      <c r="D18" s="139"/>
      <c r="E18" s="139"/>
      <c r="F18" s="139"/>
    </row>
    <row r="19" customFormat="false" ht="31.5" hidden="false" customHeight="true" outlineLevel="0" collapsed="false">
      <c r="A19" s="143" t="n">
        <v>4</v>
      </c>
      <c r="B19" s="139" t="s">
        <v>47</v>
      </c>
      <c r="C19" s="139"/>
      <c r="D19" s="139"/>
      <c r="E19" s="139"/>
      <c r="F19" s="139"/>
    </row>
    <row r="20" customFormat="false" ht="35.25" hidden="false" customHeight="true" outlineLevel="0" collapsed="false">
      <c r="A20" s="146" t="n">
        <v>5</v>
      </c>
      <c r="B20" s="147" t="s">
        <v>48</v>
      </c>
      <c r="C20" s="147"/>
      <c r="D20" s="147"/>
      <c r="E20" s="147"/>
      <c r="F20" s="147"/>
    </row>
    <row r="21" customFormat="false" ht="14.25" hidden="false" customHeight="false" outlineLevel="0" collapsed="false">
      <c r="A21" s="148"/>
      <c r="B21" s="149"/>
      <c r="C21" s="149"/>
      <c r="D21" s="149"/>
      <c r="E21" s="149"/>
      <c r="F21" s="149"/>
    </row>
    <row r="22" customFormat="false" ht="15" hidden="false" customHeight="false" outlineLevel="0" collapsed="false">
      <c r="A22" s="131" t="str">
        <f aca="false">IFERROR(__xludf.dummyfunction("importrange(Data!B24, ""VM_PO!A14:B27"")"),"Program Outcomes")</f>
        <v>Program Outcomes</v>
      </c>
      <c r="B22" s="131"/>
      <c r="C22" s="132"/>
      <c r="D22" s="132"/>
      <c r="E22" s="132"/>
      <c r="F22" s="132"/>
    </row>
    <row r="23" customFormat="false" ht="12.75" hidden="false" customHeight="false" outlineLevel="0" collapsed="false">
      <c r="A23" s="150" t="str">
        <f aca="false">IFERROR(__xludf.dummyfunction("""COMPUTED_VALUE"""),"")</f>
        <v/>
      </c>
      <c r="B23" s="151" t="str">
        <f aca="false">IFERROR(__xludf.dummyfunction("""COMPUTED_VALUE"""),"Engineering Graduates will be able to:")</f>
        <v>Engineering Graduates will be able to:</v>
      </c>
      <c r="C23" s="151"/>
      <c r="D23" s="151"/>
      <c r="E23" s="151"/>
      <c r="F23" s="151"/>
    </row>
    <row r="24" customFormat="false" ht="35.25" hidden="false" customHeight="true" outlineLevel="0" collapsed="false">
      <c r="A24" s="136" t="n">
        <f aca="false">IFERROR(__xludf.dummyfunction("""COMPUTED_VALUE"""),1)</f>
        <v>1</v>
      </c>
      <c r="B24" s="151" t="str">
        <f aca="false">IFERROR(__xludf.dummyfunction("""COMPUTED_VALUE"""),"Engineering Knowledge:An ability to apply knowledge of computing, mathematics including discrete mathematics as wellas probability and statistics, science, and engineering and technology.")</f>
        <v>Engineering Knowledge:An ability to apply knowledge of computing, mathematics including discrete mathematics as wellas probability and statistics, science, and engineering and technology.</v>
      </c>
      <c r="C24" s="151"/>
      <c r="D24" s="151"/>
      <c r="E24" s="151"/>
      <c r="F24" s="151"/>
    </row>
    <row r="25" customFormat="false" ht="29.25" hidden="false" customHeight="true" outlineLevel="0" collapsed="false">
      <c r="A25" s="136" t="n">
        <f aca="false">IFERROR(__xludf.dummyfunction("""COMPUTED_VALUE"""),2)</f>
        <v>2</v>
      </c>
      <c r="B25" s="151" t="str">
        <f aca="false">IFERROR(__xludf.dummyfunction("""COMPUTED_VALUE"""),"Problem Analysis: An ability to define a problem and provide a systematic solution with the help of conductingexperiments, as well as analyzing and interpreting the data.")</f>
        <v>Problem Analysis: An ability to define a problem and provide a systematic solution with the help of conductingexperiments, as well as analyzing and interpreting the data.</v>
      </c>
      <c r="C25" s="151"/>
      <c r="D25" s="151"/>
      <c r="E25" s="151"/>
      <c r="F25" s="151"/>
    </row>
    <row r="26" customFormat="false" ht="36.75" hidden="false" customHeight="true" outlineLevel="0" collapsed="false">
      <c r="A26" s="136" t="n">
        <f aca="false">IFERROR(__xludf.dummyfunction("""COMPUTED_VALUE"""),3)</f>
        <v>3</v>
      </c>
      <c r="B26" s="151" t="str">
        <f aca="false">IFERROR(__xludf.dummyfunction("""COMPUTED_VALUE"""),"Design &amp; Development of Solutions:An ability to design, implement, and evaluate a software or a software/hardware system,component, or process to meet desired needs within realistic constraints;")</f>
        <v>Design &amp; Development of Solutions:An ability to design, implement, and evaluate a software or a software/hardware system,component, or process to meet desired needs within realistic constraints;</v>
      </c>
      <c r="C26" s="151"/>
      <c r="D26" s="151"/>
      <c r="E26" s="151"/>
      <c r="F26" s="151"/>
    </row>
    <row r="27" customFormat="false" ht="28.5" hidden="false" customHeight="true" outlineLevel="0" collapsed="false">
      <c r="A27" s="136" t="n">
        <f aca="false">IFERROR(__xludf.dummyfunction("""COMPUTED_VALUE"""),4)</f>
        <v>4</v>
      </c>
      <c r="B27" s="151" t="str">
        <f aca="false">IFERROR(__xludf.dummyfunction("""COMPUTED_VALUE"""),"Conduct investigations of complex problems: |An ability to identify, formulate, and provide systematic solutions to complex engineeringproblems;")</f>
        <v>Conduct investigations of complex problems: |An ability to identify, formulate, and provide systematic solutions to complex engineeringproblems;</v>
      </c>
      <c r="C27" s="151"/>
      <c r="D27" s="151"/>
      <c r="E27" s="151"/>
      <c r="F27" s="151"/>
    </row>
    <row r="28" customFormat="false" ht="30.75" hidden="false" customHeight="true" outlineLevel="0" collapsed="false">
      <c r="A28" s="136" t="n">
        <f aca="false">IFERROR(__xludf.dummyfunction("""COMPUTED_VALUE"""),5)</f>
        <v>5</v>
      </c>
      <c r="B28" s="151" t="str">
        <f aca="false">IFERROR(__xludf.dummyfunction("""COMPUTED_VALUE"""),"Modern |Tool Usage: an ability to use the techniques, skills, and modern engineering technologies tools, standardprocesses necessary for practice as a IT professional;")</f>
        <v>Modern |Tool Usage: an ability to use the techniques, skills, and modern engineering technologies tools, standardprocesses necessary for practice as a IT professional;</v>
      </c>
      <c r="C28" s="151"/>
      <c r="D28" s="151"/>
      <c r="E28" s="151"/>
      <c r="F28" s="151"/>
    </row>
    <row r="29" customFormat="false" ht="32.25" hidden="false" customHeight="true" outlineLevel="0" collapsed="false">
      <c r="A29" s="136" t="n">
        <f aca="false">IFERROR(__xludf.dummyfunction("""COMPUTED_VALUE"""),6)</f>
        <v>6</v>
      </c>
      <c r="B29" s="151" t="str">
        <f aca="false">IFERROR(__xludf.dummyfunction("""COMPUTED_VALUE"""),"The Engineer and Society: An ability to apply mathematical foundations, algorithmic principles, and computer sciencetheory in the modeling and design of computer-based systems with necessary constraints andassumptions;")</f>
        <v>The Engineer and Society: An ability to apply mathematical foundations, algorithmic principles, and computer sciencetheory in the modeling and design of computer-based systems with necessary constraints andassumptions;</v>
      </c>
      <c r="C29" s="151"/>
      <c r="D29" s="151"/>
      <c r="E29" s="151"/>
      <c r="F29" s="151"/>
    </row>
    <row r="30" customFormat="false" ht="31.5" hidden="false" customHeight="true" outlineLevel="0" collapsed="false">
      <c r="A30" s="136" t="n">
        <f aca="false">IFERROR(__xludf.dummyfunction("""COMPUTED_VALUE"""),7)</f>
        <v>7</v>
      </c>
      <c r="B30" s="151" t="str">
        <f aca="false">IFERROR(__xludf.dummyfunction("""COMPUTED_VALUE"""),"Environment and Sustainability: An ability to analyze the local and global impact of computing on individuals, organizations andsociety;")</f>
        <v>Environment and Sustainability: An ability to analyze the local and global impact of computing on individuals, organizations andsociety;</v>
      </c>
      <c r="C30" s="151"/>
      <c r="D30" s="151"/>
      <c r="E30" s="151"/>
      <c r="F30" s="151"/>
    </row>
    <row r="31" customFormat="false" ht="28.5" hidden="false" customHeight="true" outlineLevel="0" collapsed="false">
      <c r="A31" s="136" t="n">
        <f aca="false">IFERROR(__xludf.dummyfunction("""COMPUTED_VALUE"""),8)</f>
        <v>8</v>
      </c>
      <c r="B31" s="151" t="str">
        <f aca="false">IFERROR(__xludf.dummyfunction("""COMPUTED_VALUE"""),"Ethics:an ability to understand professional, ethical, legal, security and social issues and responsibilities;")</f>
        <v>Ethics:an ability to understand professional, ethical, legal, security and social issues and responsibilities;</v>
      </c>
      <c r="C31" s="151"/>
      <c r="D31" s="151"/>
      <c r="E31" s="151"/>
      <c r="F31" s="151"/>
    </row>
    <row r="32" customFormat="false" ht="29.25" hidden="false" customHeight="true" outlineLevel="0" collapsed="false">
      <c r="A32" s="136" t="n">
        <f aca="false">IFERROR(__xludf.dummyfunction("""COMPUTED_VALUE"""),9)</f>
        <v>9</v>
      </c>
      <c r="B32" s="151" t="str">
        <f aca="false">IFERROR(__xludf.dummyfunction("""COMPUTED_VALUE"""),"Individual and Team Work:an ability to function effectively as an individual or as a team member to accomplish a desiredgoal(s);")</f>
        <v>Individual and Team Work:an ability to function effectively as an individual or as a team member to accomplish a desiredgoal(s);</v>
      </c>
      <c r="C32" s="151"/>
      <c r="D32" s="151"/>
      <c r="E32" s="151"/>
      <c r="F32" s="151"/>
    </row>
    <row r="33" customFormat="false" ht="28.5" hidden="false" customHeight="true" outlineLevel="0" collapsed="false">
      <c r="A33" s="136" t="n">
        <f aca="false">IFERROR(__xludf.dummyfunction("""COMPUTED_VALUE"""),10)</f>
        <v>10</v>
      </c>
      <c r="B33" s="151" t="str">
        <f aca="false">IFERROR(__xludf.dummyfunction("""COMPUTED_VALUE"""),"Communication: An ability to communicate effectively in engineering community at large by means of effectivepresentations, report writing, paper publications, demonstrations;")</f>
        <v>Communication: An ability to communicate effectively in engineering community at large by means of effectivepresentations, report writing, paper publications, demonstrations;</v>
      </c>
      <c r="C33" s="151"/>
      <c r="D33" s="151"/>
      <c r="E33" s="151"/>
      <c r="F33" s="151"/>
    </row>
    <row r="34" customFormat="false" ht="50.25" hidden="false" customHeight="true" outlineLevel="0" collapsed="false">
      <c r="A34" s="152" t="n">
        <f aca="false">IFERROR(__xludf.dummyfunction("""COMPUTED_VALUE"""),11)</f>
        <v>11</v>
      </c>
      <c r="B34" s="153" t="s">
        <v>49</v>
      </c>
      <c r="C34" s="153"/>
      <c r="D34" s="153"/>
      <c r="E34" s="153"/>
      <c r="F34" s="153"/>
    </row>
    <row r="35" customFormat="false" ht="47.25" hidden="false" customHeight="true" outlineLevel="0" collapsed="false">
      <c r="A35" s="154" t="n">
        <f aca="false">IFERROR(__xludf.dummyfunction("""COMPUTED_VALUE"""),12)</f>
        <v>12</v>
      </c>
      <c r="B35" s="147" t="str">
        <f aca="false">IFERROR(__xludf.dummyfunction("""COMPUTED_VALUE"""),"Life-Long learning: An ability to engage in life-long learning and continuing professional development to cope upwith fast changes in the technologies/tools with the help of electives, professional organizationsand extra-curricular activities;")</f>
        <v>Life-Long learning: An ability to engage in life-long learning and continuing professional development to cope upwith fast changes in the technologies/tools with the help of electives, professional organizationsand extra-curricular activities;</v>
      </c>
      <c r="C35" s="147"/>
      <c r="D35" s="147"/>
      <c r="E35" s="147"/>
      <c r="F35" s="147"/>
    </row>
    <row r="36" customFormat="false" ht="15.75" hidden="false" customHeight="false" outlineLevel="0" collapsed="false">
      <c r="A36" s="146" t="n">
        <v>13</v>
      </c>
      <c r="B36" s="155" t="s">
        <v>50</v>
      </c>
      <c r="C36" s="155"/>
      <c r="D36" s="155"/>
      <c r="E36" s="155"/>
      <c r="F36" s="155"/>
    </row>
    <row r="37" customFormat="false" ht="14.25" hidden="false" customHeight="false" outlineLevel="0" collapsed="false">
      <c r="A37" s="156"/>
      <c r="B37" s="156"/>
      <c r="C37" s="156"/>
      <c r="D37" s="141"/>
      <c r="E37" s="141"/>
      <c r="F37" s="141"/>
    </row>
    <row r="38" customFormat="false" ht="15" hidden="false" customHeight="false" outlineLevel="0" collapsed="false">
      <c r="A38" s="157" t="s">
        <v>51</v>
      </c>
      <c r="B38" s="157"/>
      <c r="C38" s="140" t="s">
        <v>52</v>
      </c>
      <c r="D38" s="141"/>
      <c r="E38" s="141"/>
      <c r="F38" s="141"/>
    </row>
    <row r="39" customFormat="false" ht="14.25" hidden="false" customHeight="true" outlineLevel="0" collapsed="false">
      <c r="A39" s="146" t="n">
        <v>1</v>
      </c>
      <c r="B39" s="134" t="s">
        <v>53</v>
      </c>
      <c r="C39" s="134"/>
      <c r="D39" s="134"/>
      <c r="E39" s="134"/>
      <c r="F39" s="134"/>
    </row>
    <row r="40" customFormat="false" ht="14.25" hidden="false" customHeight="true" outlineLevel="0" collapsed="false">
      <c r="A40" s="143" t="n">
        <v>2</v>
      </c>
      <c r="B40" s="134" t="s">
        <v>54</v>
      </c>
      <c r="C40" s="134"/>
      <c r="D40" s="134"/>
      <c r="E40" s="134"/>
      <c r="F40" s="134"/>
    </row>
    <row r="41" customFormat="false" ht="39" hidden="false" customHeight="true" outlineLevel="0" collapsed="false">
      <c r="A41" s="146" t="n">
        <v>3</v>
      </c>
      <c r="B41" s="138" t="s">
        <v>55</v>
      </c>
      <c r="C41" s="138"/>
      <c r="D41" s="138"/>
      <c r="E41" s="138"/>
      <c r="F41" s="138"/>
    </row>
    <row r="42" customFormat="false" ht="14.25" hidden="false" customHeight="false" outlineLevel="0" collapsed="false">
      <c r="A42" s="146"/>
      <c r="B42" s="139"/>
      <c r="C42" s="139"/>
      <c r="D42" s="139"/>
      <c r="E42" s="139"/>
      <c r="F42" s="139"/>
    </row>
    <row r="43" customFormat="false" ht="14.25" hidden="false" customHeight="false" outlineLevel="0" collapsed="false">
      <c r="A43" s="146"/>
      <c r="B43" s="139"/>
      <c r="C43" s="139"/>
      <c r="D43" s="139"/>
      <c r="E43" s="139"/>
      <c r="F43" s="139"/>
    </row>
    <row r="44" customFormat="false" ht="14.25" hidden="false" customHeight="false" outlineLevel="0" collapsed="false">
      <c r="A44" s="156"/>
      <c r="B44" s="156"/>
      <c r="C44" s="156"/>
      <c r="D44" s="141"/>
      <c r="E44" s="141"/>
      <c r="F44" s="141"/>
    </row>
    <row r="45" customFormat="false" ht="15.75" hidden="false" customHeight="true" outlineLevel="0" collapsed="false">
      <c r="A45" s="158"/>
      <c r="B45" s="159"/>
      <c r="C45" s="159"/>
      <c r="D45" s="159"/>
      <c r="E45" s="159"/>
      <c r="F45" s="159"/>
    </row>
    <row r="46" customFormat="false" ht="15" hidden="false" customHeight="true" outlineLevel="0" collapsed="false">
      <c r="A46" s="160"/>
      <c r="B46" s="161" t="s">
        <v>56</v>
      </c>
      <c r="C46" s="162" t="s">
        <v>57</v>
      </c>
      <c r="D46" s="162"/>
      <c r="E46" s="163" t="s">
        <v>58</v>
      </c>
      <c r="F46" s="164" t="str">
        <f aca="false">[2]Data!L18</f>
        <v>Dr. R. S. Bichkar</v>
      </c>
      <c r="G46" s="164"/>
      <c r="H46" s="158"/>
      <c r="I46" s="165"/>
      <c r="J46" s="87"/>
    </row>
    <row r="47" customFormat="false" ht="14.25" hidden="false" customHeight="false" outlineLevel="0" collapsed="false">
      <c r="A47" s="160"/>
      <c r="B47" s="166" t="s">
        <v>59</v>
      </c>
      <c r="C47" s="167" t="s">
        <v>60</v>
      </c>
      <c r="D47" s="167"/>
      <c r="E47" s="167" t="s">
        <v>20</v>
      </c>
      <c r="F47" s="168" t="s">
        <v>61</v>
      </c>
      <c r="G47" s="168"/>
      <c r="H47" s="158"/>
      <c r="I47" s="169"/>
      <c r="J47" s="170"/>
    </row>
  </sheetData>
  <mergeCells count="40">
    <mergeCell ref="B1:F1"/>
    <mergeCell ref="B2:F2"/>
    <mergeCell ref="B3:F3"/>
    <mergeCell ref="A6:B6"/>
    <mergeCell ref="B7:F7"/>
    <mergeCell ref="A9:B9"/>
    <mergeCell ref="B10:F10"/>
    <mergeCell ref="B11:F11"/>
    <mergeCell ref="B12:F12"/>
    <mergeCell ref="B13:F13"/>
    <mergeCell ref="A15:B15"/>
    <mergeCell ref="B16:F16"/>
    <mergeCell ref="B17:F17"/>
    <mergeCell ref="B18:F18"/>
    <mergeCell ref="B19:F19"/>
    <mergeCell ref="B20:F20"/>
    <mergeCell ref="A22:B22"/>
    <mergeCell ref="B23:F23"/>
    <mergeCell ref="B24:F24"/>
    <mergeCell ref="B25:F25"/>
    <mergeCell ref="B26:F26"/>
    <mergeCell ref="B27:F27"/>
    <mergeCell ref="B28:F28"/>
    <mergeCell ref="B29:F29"/>
    <mergeCell ref="B30:F30"/>
    <mergeCell ref="B31:F31"/>
    <mergeCell ref="B32:F32"/>
    <mergeCell ref="B33:F33"/>
    <mergeCell ref="B34:F34"/>
    <mergeCell ref="B35:F35"/>
    <mergeCell ref="B36:F36"/>
    <mergeCell ref="A38:B38"/>
    <mergeCell ref="B39:F39"/>
    <mergeCell ref="B40:F40"/>
    <mergeCell ref="B41:F41"/>
    <mergeCell ref="B42:F42"/>
    <mergeCell ref="B43:F43"/>
    <mergeCell ref="B45:F45"/>
    <mergeCell ref="C46:D46"/>
    <mergeCell ref="C47:D47"/>
  </mergeCells>
  <printOptions headings="false" gridLines="true" gridLinesSet="true" horizontalCentered="true" verticalCentered="false"/>
  <pageMargins left="0.170138888888889" right="0.170138888888889" top="0.3" bottom="0.170138888888889"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rowBreaks count="1" manualBreakCount="1">
    <brk id="36" man="true" max="16383" min="0"/>
  </rowBreaks>
  <colBreaks count="1" manualBreakCount="1">
    <brk id="8" man="true" max="65535" min="0"/>
  </colBreaks>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A1:H2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3.99"/>
    <col collapsed="false" customWidth="true" hidden="false" outlineLevel="0" max="2" min="2" style="0" width="29.71"/>
    <col collapsed="false" customWidth="true" hidden="false" outlineLevel="0" max="4" min="3" style="0" width="12.86"/>
    <col collapsed="false" customWidth="true" hidden="false" outlineLevel="0" max="8" min="5" style="0" width="10.42"/>
    <col collapsed="false" customWidth="true" hidden="false" outlineLevel="0" max="1025" min="9" style="0" width="14.43"/>
  </cols>
  <sheetData>
    <row r="1" customFormat="false" ht="15.75" hidden="false" customHeight="false" outlineLevel="0" collapsed="false">
      <c r="A1" s="171"/>
      <c r="B1" s="1" t="str">
        <f aca="false">Data!A1</f>
        <v>Vidya Pratishthan’s Kamalnayan Bajaj Institute of Engineering &amp; Technology, Baramati</v>
      </c>
      <c r="C1" s="1"/>
      <c r="D1" s="1"/>
      <c r="E1" s="1"/>
      <c r="F1" s="1"/>
      <c r="G1" s="1"/>
      <c r="H1" s="1"/>
    </row>
    <row r="2" customFormat="false" ht="20.25" hidden="false" customHeight="false" outlineLevel="0" collapsed="false">
      <c r="A2" s="4"/>
      <c r="B2" s="172" t="s">
        <v>62</v>
      </c>
      <c r="C2" s="172"/>
      <c r="D2" s="172"/>
      <c r="E2" s="172"/>
      <c r="F2" s="172"/>
      <c r="G2" s="172"/>
      <c r="H2" s="172"/>
    </row>
    <row r="3" customFormat="false" ht="15.75" hidden="false" customHeight="false" outlineLevel="0" collapsed="false">
      <c r="A3" s="171"/>
      <c r="B3" s="173" t="s">
        <v>63</v>
      </c>
      <c r="C3" s="173"/>
      <c r="D3" s="173" t="s">
        <v>6</v>
      </c>
      <c r="F3" s="173" t="s">
        <v>64</v>
      </c>
      <c r="G3" s="173" t="s">
        <v>3</v>
      </c>
      <c r="H3" s="174" t="s">
        <v>5</v>
      </c>
    </row>
    <row r="4" customFormat="false" ht="15" hidden="false" customHeight="false" outlineLevel="0" collapsed="false">
      <c r="A4" s="175"/>
      <c r="B4" s="176" t="str">
        <f aca="false">Data!B9</f>
        <v>Problem Solving and Object Oriented programming</v>
      </c>
      <c r="C4" s="176"/>
      <c r="D4" s="177" t="str">
        <f aca="false">IF(B4&lt;&gt;"", Data!B8, "")</f>
        <v>Mr. D. S. Gaikwad </v>
      </c>
      <c r="E4" s="177"/>
      <c r="F4" s="177" t="str">
        <f aca="false">Data!B5</f>
        <v>IT</v>
      </c>
      <c r="G4" s="177" t="str">
        <f aca="false">Data!B6</f>
        <v>SE</v>
      </c>
      <c r="H4" s="178" t="n">
        <f aca="false">Data!B7</f>
        <v>0</v>
      </c>
    </row>
    <row r="5" customFormat="false" ht="14.25" hidden="false" customHeight="false" outlineLevel="0" collapsed="false">
      <c r="A5" s="179"/>
      <c r="B5" s="179"/>
      <c r="C5" s="179"/>
      <c r="D5" s="180"/>
      <c r="E5" s="180"/>
      <c r="F5" s="180"/>
      <c r="G5" s="180"/>
      <c r="H5" s="180"/>
    </row>
    <row r="6" customFormat="false" ht="14.25" hidden="false" customHeight="false" outlineLevel="0" collapsed="false">
      <c r="A6" s="179"/>
      <c r="B6" s="179"/>
      <c r="C6" s="179"/>
      <c r="D6" s="180"/>
      <c r="E6" s="180"/>
      <c r="F6" s="180"/>
      <c r="G6" s="180"/>
      <c r="H6" s="180"/>
    </row>
    <row r="7" customFormat="false" ht="15" hidden="false" customHeight="false" outlineLevel="0" collapsed="false">
      <c r="A7" s="181" t="s">
        <v>65</v>
      </c>
      <c r="B7" s="181"/>
      <c r="C7" s="179"/>
      <c r="D7" s="180"/>
      <c r="E7" s="180"/>
      <c r="F7" s="180"/>
      <c r="G7" s="180"/>
      <c r="H7" s="180"/>
    </row>
    <row r="8" customFormat="false" ht="21.75" hidden="false" customHeight="true" outlineLevel="0" collapsed="false">
      <c r="A8" s="182" t="n">
        <v>1</v>
      </c>
      <c r="B8" s="183" t="s">
        <v>66</v>
      </c>
      <c r="C8" s="183"/>
      <c r="D8" s="183"/>
      <c r="E8" s="183"/>
      <c r="F8" s="183"/>
      <c r="G8" s="183"/>
      <c r="H8" s="183"/>
    </row>
    <row r="9" customFormat="false" ht="14.25" hidden="false" customHeight="true" outlineLevel="0" collapsed="false">
      <c r="A9" s="182" t="n">
        <v>2</v>
      </c>
      <c r="B9" s="138" t="s">
        <v>67</v>
      </c>
      <c r="C9" s="138"/>
      <c r="D9" s="138"/>
      <c r="E9" s="138"/>
      <c r="F9" s="138"/>
      <c r="G9" s="138"/>
      <c r="H9" s="138"/>
    </row>
    <row r="10" customFormat="false" ht="35.25" hidden="false" customHeight="true" outlineLevel="0" collapsed="false">
      <c r="A10" s="182" t="n">
        <v>3</v>
      </c>
      <c r="B10" s="139" t="s">
        <v>68</v>
      </c>
      <c r="C10" s="139"/>
      <c r="D10" s="139"/>
      <c r="E10" s="139"/>
      <c r="F10" s="139"/>
      <c r="G10" s="139"/>
      <c r="H10" s="139"/>
    </row>
    <row r="11" customFormat="false" ht="14.25" hidden="false" customHeight="true" outlineLevel="0" collapsed="false">
      <c r="A11" s="182" t="n">
        <v>4</v>
      </c>
      <c r="B11" s="139" t="s">
        <v>69</v>
      </c>
      <c r="C11" s="139"/>
      <c r="D11" s="139"/>
      <c r="E11" s="139"/>
      <c r="F11" s="139"/>
      <c r="G11" s="139"/>
      <c r="H11" s="139"/>
    </row>
    <row r="12" customFormat="false" ht="14.25" hidden="false" customHeight="true" outlineLevel="0" collapsed="false">
      <c r="A12" s="182" t="n">
        <v>5</v>
      </c>
      <c r="B12" s="134" t="s">
        <v>70</v>
      </c>
      <c r="C12" s="134"/>
      <c r="D12" s="134"/>
      <c r="E12" s="134"/>
      <c r="F12" s="134"/>
      <c r="G12" s="134"/>
      <c r="H12" s="134"/>
    </row>
    <row r="13" customFormat="false" ht="14.25" hidden="false" customHeight="false" outlineLevel="0" collapsed="false">
      <c r="A13" s="182"/>
      <c r="B13" s="184"/>
      <c r="C13" s="184"/>
      <c r="D13" s="184"/>
      <c r="E13" s="184"/>
      <c r="F13" s="184"/>
      <c r="G13" s="184"/>
      <c r="H13" s="184"/>
    </row>
    <row r="14" customFormat="false" ht="14.25" hidden="false" customHeight="false" outlineLevel="0" collapsed="false">
      <c r="A14" s="182"/>
      <c r="B14" s="185"/>
      <c r="C14" s="185"/>
      <c r="D14" s="185"/>
      <c r="E14" s="185"/>
      <c r="F14" s="185"/>
      <c r="G14" s="185"/>
      <c r="H14" s="185"/>
    </row>
    <row r="15" customFormat="false" ht="14.25" hidden="false" customHeight="false" outlineLevel="0" collapsed="false">
      <c r="A15" s="182"/>
      <c r="B15" s="185"/>
      <c r="C15" s="185"/>
      <c r="D15" s="185"/>
      <c r="E15" s="185"/>
      <c r="F15" s="185"/>
      <c r="G15" s="185"/>
      <c r="H15" s="185"/>
    </row>
    <row r="16" customFormat="false" ht="14.25" hidden="false" customHeight="false" outlineLevel="0" collapsed="false">
      <c r="A16" s="179"/>
      <c r="B16" s="179"/>
      <c r="C16" s="179"/>
      <c r="D16" s="180"/>
      <c r="E16" s="180"/>
      <c r="F16" s="180"/>
      <c r="G16" s="180"/>
      <c r="H16" s="180"/>
    </row>
    <row r="17" customFormat="false" ht="14.25" hidden="false" customHeight="false" outlineLevel="0" collapsed="false">
      <c r="A17" s="179"/>
      <c r="B17" s="179"/>
      <c r="C17" s="179"/>
      <c r="D17" s="180"/>
      <c r="E17" s="180"/>
      <c r="F17" s="180"/>
      <c r="G17" s="180"/>
      <c r="H17" s="180"/>
    </row>
    <row r="18" customFormat="false" ht="15" hidden="false" customHeight="false" outlineLevel="0" collapsed="false">
      <c r="A18" s="181" t="s">
        <v>71</v>
      </c>
      <c r="B18" s="181"/>
      <c r="C18" s="179"/>
      <c r="D18" s="180"/>
      <c r="E18" s="180"/>
      <c r="F18" s="180"/>
      <c r="G18" s="180"/>
      <c r="H18" s="180"/>
    </row>
    <row r="19" customFormat="false" ht="14.25" hidden="false" customHeight="true" outlineLevel="0" collapsed="false">
      <c r="A19" s="182" t="n">
        <v>1</v>
      </c>
      <c r="B19" s="134" t="s">
        <v>72</v>
      </c>
      <c r="C19" s="134"/>
      <c r="D19" s="134"/>
      <c r="E19" s="134"/>
      <c r="F19" s="134"/>
      <c r="G19" s="134"/>
      <c r="H19" s="134"/>
    </row>
    <row r="20" customFormat="false" ht="33.75" hidden="false" customHeight="true" outlineLevel="0" collapsed="false">
      <c r="A20" s="182" t="n">
        <v>2</v>
      </c>
      <c r="B20" s="138" t="s">
        <v>73</v>
      </c>
      <c r="C20" s="138"/>
      <c r="D20" s="138"/>
      <c r="E20" s="138"/>
      <c r="F20" s="138"/>
      <c r="G20" s="138"/>
      <c r="H20" s="138"/>
    </row>
    <row r="21" customFormat="false" ht="14.25" hidden="false" customHeight="true" outlineLevel="0" collapsed="false">
      <c r="A21" s="182" t="n">
        <v>3</v>
      </c>
      <c r="B21" s="139" t="s">
        <v>74</v>
      </c>
      <c r="C21" s="139"/>
      <c r="D21" s="139"/>
      <c r="E21" s="139"/>
      <c r="F21" s="139"/>
      <c r="G21" s="139"/>
      <c r="H21" s="139"/>
    </row>
    <row r="22" customFormat="false" ht="15" hidden="false" customHeight="true" outlineLevel="0" collapsed="false">
      <c r="A22" s="182" t="n">
        <v>4</v>
      </c>
      <c r="B22" s="183" t="s">
        <v>75</v>
      </c>
      <c r="C22" s="183"/>
      <c r="D22" s="183"/>
      <c r="E22" s="183"/>
      <c r="F22" s="183"/>
      <c r="G22" s="183"/>
      <c r="H22" s="183"/>
    </row>
    <row r="23" customFormat="false" ht="14.25" hidden="false" customHeight="false" outlineLevel="0" collapsed="false">
      <c r="A23" s="182"/>
      <c r="B23" s="183"/>
      <c r="C23" s="183"/>
      <c r="D23" s="183"/>
      <c r="E23" s="183"/>
      <c r="F23" s="183"/>
      <c r="G23" s="183"/>
      <c r="H23" s="183"/>
    </row>
    <row r="24" customFormat="false" ht="14.25" hidden="false" customHeight="false" outlineLevel="0" collapsed="false">
      <c r="A24" s="182"/>
      <c r="B24" s="184"/>
      <c r="C24" s="184"/>
      <c r="D24" s="184"/>
      <c r="E24" s="184"/>
      <c r="F24" s="184"/>
      <c r="G24" s="184"/>
      <c r="H24" s="184"/>
    </row>
    <row r="25" customFormat="false" ht="14.25" hidden="false" customHeight="false" outlineLevel="0" collapsed="false">
      <c r="A25" s="182"/>
      <c r="B25" s="185"/>
      <c r="C25" s="185"/>
      <c r="D25" s="185"/>
      <c r="E25" s="185"/>
      <c r="F25" s="185"/>
      <c r="G25" s="185"/>
      <c r="H25" s="185"/>
    </row>
    <row r="26" customFormat="false" ht="14.25" hidden="false" customHeight="false" outlineLevel="0" collapsed="false">
      <c r="A26" s="182"/>
      <c r="B26" s="185"/>
      <c r="C26" s="185"/>
      <c r="D26" s="185"/>
      <c r="E26" s="185"/>
      <c r="F26" s="185"/>
      <c r="G26" s="185"/>
      <c r="H26" s="185"/>
    </row>
    <row r="27" customFormat="false" ht="38.25" hidden="false" customHeight="true" outlineLevel="0" collapsed="false">
      <c r="A27" s="179"/>
      <c r="B27" s="179"/>
      <c r="C27" s="179"/>
      <c r="D27" s="180"/>
      <c r="E27" s="180"/>
      <c r="F27" s="180"/>
      <c r="G27" s="180"/>
      <c r="H27" s="180"/>
    </row>
    <row r="28" customFormat="false" ht="15" hidden="false" customHeight="false" outlineLevel="0" collapsed="false">
      <c r="A28" s="5"/>
      <c r="B28" s="161" t="s">
        <v>56</v>
      </c>
      <c r="C28" s="161" t="s">
        <v>57</v>
      </c>
      <c r="D28" s="161"/>
      <c r="E28" s="161" t="s">
        <v>58</v>
      </c>
      <c r="F28" s="161"/>
      <c r="G28" s="164" t="str">
        <f aca="false">Data!L18</f>
        <v>Dr. R. S. Bichkar</v>
      </c>
      <c r="H28" s="164"/>
    </row>
    <row r="29" customFormat="false" ht="14.25" hidden="false" customHeight="true" outlineLevel="0" collapsed="false">
      <c r="A29" s="5"/>
      <c r="B29" s="166" t="s">
        <v>59</v>
      </c>
      <c r="C29" s="167" t="s">
        <v>60</v>
      </c>
      <c r="D29" s="167"/>
      <c r="E29" s="167" t="s">
        <v>20</v>
      </c>
      <c r="F29" s="167"/>
      <c r="G29" s="168" t="s">
        <v>61</v>
      </c>
      <c r="H29" s="168"/>
    </row>
  </sheetData>
  <mergeCells count="28">
    <mergeCell ref="B1:H1"/>
    <mergeCell ref="B2:H2"/>
    <mergeCell ref="B4:C4"/>
    <mergeCell ref="D4:E4"/>
    <mergeCell ref="A7:B7"/>
    <mergeCell ref="B8:H8"/>
    <mergeCell ref="B9:H9"/>
    <mergeCell ref="B10:H10"/>
    <mergeCell ref="B11:H11"/>
    <mergeCell ref="B12:H12"/>
    <mergeCell ref="B13:H13"/>
    <mergeCell ref="B14:H14"/>
    <mergeCell ref="B15:H15"/>
    <mergeCell ref="A18:B18"/>
    <mergeCell ref="B19:H19"/>
    <mergeCell ref="B20:H20"/>
    <mergeCell ref="B21:H21"/>
    <mergeCell ref="B22:H22"/>
    <mergeCell ref="B23:H23"/>
    <mergeCell ref="B24:H24"/>
    <mergeCell ref="B25:H25"/>
    <mergeCell ref="B26:H26"/>
    <mergeCell ref="C28:D28"/>
    <mergeCell ref="E28:F28"/>
    <mergeCell ref="G28:H28"/>
    <mergeCell ref="C29:D29"/>
    <mergeCell ref="E29:F29"/>
    <mergeCell ref="G29:H29"/>
  </mergeCells>
  <printOptions headings="false" gridLines="true" gridLinesSet="true" horizontalCentered="true" verticalCentered="false"/>
  <pageMargins left="0.6" right="0.3" top="0.3" bottom="0.3"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colBreaks count="1" manualBreakCount="1">
    <brk id="8" man="true" max="65535" min="0"/>
  </colBreaks>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A1:M1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5.01"/>
    <col collapsed="false" customWidth="true" hidden="false" outlineLevel="0" max="2" min="2" style="0" width="20.57"/>
    <col collapsed="false" customWidth="true" hidden="false" outlineLevel="0" max="9" min="3" style="0" width="11.29"/>
    <col collapsed="false" customWidth="true" hidden="false" outlineLevel="0" max="12" min="10" style="0" width="6.42"/>
    <col collapsed="false" customWidth="true" hidden="false" outlineLevel="0" max="13" min="13" style="0" width="7.57"/>
    <col collapsed="false" customWidth="true" hidden="false" outlineLevel="0" max="1025" min="14" style="0" width="14.43"/>
  </cols>
  <sheetData>
    <row r="1" customFormat="false" ht="16.5" hidden="false" customHeight="false" outlineLevel="0" collapsed="false">
      <c r="A1" s="175"/>
      <c r="B1" s="186" t="str">
        <f aca="false">Data!A1</f>
        <v>Vidya Pratishthan’s Kamalnayan Bajaj Institute of Engineering &amp; Technology, Baramati</v>
      </c>
      <c r="C1" s="186"/>
      <c r="D1" s="186"/>
      <c r="E1" s="186"/>
      <c r="F1" s="186"/>
      <c r="G1" s="186"/>
      <c r="H1" s="186"/>
      <c r="I1" s="186"/>
      <c r="J1" s="186"/>
      <c r="K1" s="186"/>
      <c r="L1" s="187"/>
      <c r="M1" s="188"/>
    </row>
    <row r="2" customFormat="false" ht="23.25" hidden="false" customHeight="true" outlineLevel="0" collapsed="false">
      <c r="A2" s="175"/>
      <c r="B2" s="189" t="str">
        <f aca="false">"THEORY SYLLABUS COVERAGE (" &amp; Data!B19 &amp; " Semester, " &amp; Data!B18 &amp; ")"</f>
        <v>THEORY SYLLABUS COVERAGE (First Semester, 2019-20)</v>
      </c>
      <c r="C2" s="189"/>
      <c r="D2" s="189"/>
      <c r="E2" s="189"/>
      <c r="F2" s="189"/>
      <c r="G2" s="189"/>
      <c r="H2" s="189"/>
      <c r="I2" s="189"/>
      <c r="J2" s="189"/>
      <c r="K2" s="189"/>
      <c r="L2" s="190"/>
      <c r="M2" s="5"/>
    </row>
    <row r="3" customFormat="false" ht="25.5" hidden="false" customHeight="true" outlineLevel="0" collapsed="false">
      <c r="B3" s="173" t="s">
        <v>63</v>
      </c>
      <c r="C3" s="173"/>
      <c r="E3" s="173" t="s">
        <v>6</v>
      </c>
      <c r="I3" s="173" t="s">
        <v>64</v>
      </c>
      <c r="J3" s="173" t="s">
        <v>3</v>
      </c>
      <c r="K3" s="174" t="s">
        <v>5</v>
      </c>
      <c r="L3" s="191"/>
      <c r="M3" s="191" t="s">
        <v>76</v>
      </c>
    </row>
    <row r="4" customFormat="false" ht="33" hidden="false" customHeight="true" outlineLevel="0" collapsed="false">
      <c r="B4" s="192" t="str">
        <f aca="false">Data!B9</f>
        <v>Problem Solving and Object Oriented programming</v>
      </c>
      <c r="C4" s="192"/>
      <c r="D4" s="192"/>
      <c r="E4" s="177" t="str">
        <f aca="false">IF(B4&lt;&gt;"", Data!B8, "")</f>
        <v>Mr. D. S. Gaikwad </v>
      </c>
      <c r="F4" s="177"/>
      <c r="G4" s="177"/>
      <c r="I4" s="177" t="str">
        <f aca="false">Data!B5</f>
        <v>IT</v>
      </c>
      <c r="J4" s="177" t="str">
        <f aca="false">Data!B6</f>
        <v>SE</v>
      </c>
      <c r="K4" s="178" t="n">
        <f aca="false">Data!B7</f>
        <v>0</v>
      </c>
      <c r="L4" s="193"/>
      <c r="M4" s="177" t="n">
        <f aca="false">IF(B4&lt;&gt;"", COUNTIF(B7:B12, "&lt;&gt;"), 0)</f>
        <v>6</v>
      </c>
    </row>
    <row r="5" customFormat="false" ht="18" hidden="false" customHeight="true" outlineLevel="0" collapsed="false">
      <c r="A5" s="73"/>
      <c r="B5" s="60"/>
      <c r="C5" s="175"/>
      <c r="D5" s="175"/>
      <c r="E5" s="175"/>
      <c r="F5" s="194"/>
      <c r="G5" s="194"/>
      <c r="H5" s="194"/>
      <c r="I5" s="175"/>
      <c r="J5" s="175"/>
      <c r="K5" s="175"/>
      <c r="L5" s="175"/>
      <c r="M5" s="175"/>
    </row>
    <row r="6" customFormat="false" ht="56.25" hidden="false" customHeight="true" outlineLevel="0" collapsed="false">
      <c r="A6" s="195" t="s">
        <v>77</v>
      </c>
      <c r="B6" s="195" t="s">
        <v>78</v>
      </c>
      <c r="C6" s="196" t="s">
        <v>79</v>
      </c>
      <c r="D6" s="196"/>
      <c r="E6" s="196"/>
      <c r="F6" s="196"/>
      <c r="G6" s="196"/>
      <c r="H6" s="196"/>
      <c r="I6" s="196"/>
      <c r="J6" s="197" t="s">
        <v>80</v>
      </c>
      <c r="K6" s="198" t="s">
        <v>81</v>
      </c>
      <c r="L6" s="198" t="s">
        <v>82</v>
      </c>
      <c r="M6" s="198" t="s">
        <v>83</v>
      </c>
    </row>
    <row r="7" customFormat="false" ht="78.75" hidden="false" customHeight="true" outlineLevel="0" collapsed="false">
      <c r="A7" s="199" t="s">
        <v>84</v>
      </c>
      <c r="B7" s="200" t="s">
        <v>85</v>
      </c>
      <c r="C7" s="201" t="s">
        <v>86</v>
      </c>
      <c r="D7" s="201"/>
      <c r="E7" s="201"/>
      <c r="F7" s="201"/>
      <c r="G7" s="201"/>
      <c r="H7" s="201"/>
      <c r="I7" s="201"/>
      <c r="J7" s="199" t="n">
        <v>6</v>
      </c>
      <c r="K7" s="199"/>
      <c r="L7" s="199"/>
      <c r="M7" s="202"/>
    </row>
    <row r="8" customFormat="false" ht="76.5" hidden="false" customHeight="true" outlineLevel="0" collapsed="false">
      <c r="A8" s="203" t="s">
        <v>87</v>
      </c>
      <c r="B8" s="204" t="s">
        <v>88</v>
      </c>
      <c r="C8" s="205" t="s">
        <v>89</v>
      </c>
      <c r="D8" s="205"/>
      <c r="E8" s="205"/>
      <c r="F8" s="205"/>
      <c r="G8" s="205"/>
      <c r="H8" s="205"/>
      <c r="I8" s="205"/>
      <c r="J8" s="206" t="n">
        <v>6</v>
      </c>
      <c r="K8" s="199"/>
      <c r="L8" s="199"/>
      <c r="M8" s="202"/>
    </row>
    <row r="9" customFormat="false" ht="157.5" hidden="false" customHeight="true" outlineLevel="0" collapsed="false">
      <c r="A9" s="203" t="s">
        <v>90</v>
      </c>
      <c r="B9" s="204" t="s">
        <v>91</v>
      </c>
      <c r="C9" s="207" t="s">
        <v>92</v>
      </c>
      <c r="D9" s="207"/>
      <c r="E9" s="207"/>
      <c r="F9" s="207"/>
      <c r="G9" s="207"/>
      <c r="H9" s="207"/>
      <c r="I9" s="207"/>
      <c r="J9" s="206" t="n">
        <v>6</v>
      </c>
      <c r="K9" s="199"/>
      <c r="L9" s="199"/>
      <c r="M9" s="202"/>
    </row>
    <row r="10" customFormat="false" ht="108" hidden="false" customHeight="true" outlineLevel="0" collapsed="false">
      <c r="A10" s="203" t="s">
        <v>93</v>
      </c>
      <c r="B10" s="208" t="s">
        <v>94</v>
      </c>
      <c r="C10" s="205" t="s">
        <v>95</v>
      </c>
      <c r="D10" s="205"/>
      <c r="E10" s="205"/>
      <c r="F10" s="205"/>
      <c r="G10" s="205"/>
      <c r="H10" s="205"/>
      <c r="I10" s="205"/>
      <c r="J10" s="206" t="n">
        <v>8</v>
      </c>
      <c r="K10" s="199"/>
      <c r="L10" s="199"/>
      <c r="M10" s="202"/>
    </row>
    <row r="11" customFormat="false" ht="79.5" hidden="false" customHeight="true" outlineLevel="0" collapsed="false">
      <c r="A11" s="209" t="s">
        <v>96</v>
      </c>
      <c r="B11" s="210" t="s">
        <v>97</v>
      </c>
      <c r="C11" s="211" t="s">
        <v>98</v>
      </c>
      <c r="D11" s="211"/>
      <c r="E11" s="211"/>
      <c r="F11" s="211"/>
      <c r="G11" s="211"/>
      <c r="H11" s="211"/>
      <c r="I11" s="211"/>
      <c r="J11" s="206" t="n">
        <v>7</v>
      </c>
      <c r="K11" s="212"/>
      <c r="L11" s="212"/>
      <c r="M11" s="213"/>
    </row>
    <row r="12" customFormat="false" ht="107.25" hidden="false" customHeight="true" outlineLevel="0" collapsed="false">
      <c r="A12" s="199" t="s">
        <v>99</v>
      </c>
      <c r="B12" s="214" t="s">
        <v>100</v>
      </c>
      <c r="C12" s="215" t="s">
        <v>101</v>
      </c>
      <c r="D12" s="215"/>
      <c r="E12" s="215"/>
      <c r="F12" s="215"/>
      <c r="G12" s="215"/>
      <c r="H12" s="215"/>
      <c r="I12" s="215"/>
      <c r="J12" s="199" t="n">
        <v>7</v>
      </c>
      <c r="K12" s="199"/>
      <c r="L12" s="199"/>
      <c r="M12" s="202"/>
    </row>
    <row r="13" s="218" customFormat="true" ht="29.25" hidden="false" customHeight="true" outlineLevel="0" collapsed="false">
      <c r="A13" s="199"/>
      <c r="B13" s="216"/>
      <c r="C13" s="217"/>
      <c r="D13" s="217"/>
      <c r="E13" s="217"/>
      <c r="F13" s="217"/>
      <c r="G13" s="217"/>
      <c r="H13" s="217"/>
      <c r="I13" s="217"/>
      <c r="J13" s="199"/>
      <c r="K13" s="199"/>
      <c r="L13" s="199"/>
      <c r="M13" s="202"/>
    </row>
    <row r="14" s="158" customFormat="true" ht="24" hidden="false" customHeight="true" outlineLevel="0" collapsed="false">
      <c r="A14" s="219" t="s">
        <v>102</v>
      </c>
      <c r="B14" s="219"/>
      <c r="C14" s="219"/>
      <c r="D14" s="219"/>
      <c r="E14" s="219"/>
      <c r="F14" s="219"/>
      <c r="G14" s="219"/>
      <c r="H14" s="219"/>
      <c r="I14" s="219"/>
      <c r="J14" s="199"/>
      <c r="K14" s="199"/>
      <c r="L14" s="199"/>
      <c r="M14" s="202"/>
    </row>
    <row r="15" s="158" customFormat="true" ht="37.5" hidden="false" customHeight="true" outlineLevel="0" collapsed="false">
      <c r="A15" s="170"/>
      <c r="B15" s="170"/>
      <c r="C15" s="160"/>
      <c r="D15" s="160"/>
      <c r="E15" s="160"/>
      <c r="F15" s="160"/>
      <c r="G15" s="160"/>
      <c r="H15" s="220"/>
      <c r="I15" s="221"/>
      <c r="J15" s="221"/>
      <c r="K15" s="221"/>
      <c r="L15" s="170"/>
      <c r="M15" s="170"/>
    </row>
    <row r="16" s="158" customFormat="true" ht="15" hidden="false" customHeight="true" outlineLevel="0" collapsed="false">
      <c r="A16" s="160"/>
      <c r="B16" s="161" t="s">
        <v>103</v>
      </c>
      <c r="C16" s="165"/>
      <c r="D16" s="161" t="s">
        <v>57</v>
      </c>
      <c r="E16" s="161"/>
      <c r="F16" s="161"/>
      <c r="G16" s="161" t="s">
        <v>58</v>
      </c>
      <c r="H16" s="161"/>
      <c r="I16" s="222"/>
      <c r="J16" s="222"/>
      <c r="K16" s="222" t="s">
        <v>104</v>
      </c>
      <c r="L16" s="222"/>
      <c r="M16" s="222"/>
    </row>
    <row r="17" s="158" customFormat="true" ht="14.25" hidden="false" customHeight="true" outlineLevel="0" collapsed="false">
      <c r="A17" s="160"/>
      <c r="B17" s="166" t="s">
        <v>59</v>
      </c>
      <c r="C17" s="170"/>
      <c r="D17" s="167" t="s">
        <v>60</v>
      </c>
      <c r="E17" s="167"/>
      <c r="F17" s="167"/>
      <c r="G17" s="167" t="s">
        <v>20</v>
      </c>
      <c r="H17" s="167"/>
      <c r="I17" s="168"/>
      <c r="J17" s="168"/>
      <c r="K17" s="168" t="s">
        <v>61</v>
      </c>
      <c r="L17" s="168"/>
      <c r="M17" s="168"/>
    </row>
  </sheetData>
  <mergeCells count="21">
    <mergeCell ref="B1:K1"/>
    <mergeCell ref="B2:K2"/>
    <mergeCell ref="B4:D4"/>
    <mergeCell ref="E4:G4"/>
    <mergeCell ref="C6:I6"/>
    <mergeCell ref="C7:I7"/>
    <mergeCell ref="C8:I8"/>
    <mergeCell ref="C9:I9"/>
    <mergeCell ref="C10:I10"/>
    <mergeCell ref="C11:I11"/>
    <mergeCell ref="C12:I12"/>
    <mergeCell ref="C13:I13"/>
    <mergeCell ref="A14:I14"/>
    <mergeCell ref="D16:F16"/>
    <mergeCell ref="G16:H16"/>
    <mergeCell ref="I16:J16"/>
    <mergeCell ref="K16:M16"/>
    <mergeCell ref="D17:F17"/>
    <mergeCell ref="G17:H17"/>
    <mergeCell ref="I17:J17"/>
    <mergeCell ref="K17:M17"/>
  </mergeCells>
  <conditionalFormatting sqref="J14:M14 K7:K13">
    <cfRule type="cellIs" priority="2" operator="equal" aboveAverage="0" equalAverage="0" bottom="0" percent="0" rank="0" text="" dxfId="0">
      <formula>0</formula>
    </cfRule>
  </conditionalFormatting>
  <printOptions headings="false" gridLines="false" gridLinesSet="true" horizontalCentered="false" verticalCentered="false"/>
  <pageMargins left="0.6" right="0.3" top="0.3" bottom="0.3"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O5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3.86"/>
    <col collapsed="false" customWidth="true" hidden="false" outlineLevel="0" max="2" min="2" style="0" width="9.14"/>
    <col collapsed="false" customWidth="true" hidden="false" outlineLevel="0" max="3" min="3" style="223" width="10"/>
    <col collapsed="false" customWidth="true" hidden="false" outlineLevel="0" max="4" min="4" style="0" width="32"/>
    <col collapsed="false" customWidth="true" hidden="false" outlineLevel="0" max="5" min="5" style="0" width="16.14"/>
    <col collapsed="false" customWidth="true" hidden="false" outlineLevel="0" max="6" min="6" style="0" width="36.57"/>
    <col collapsed="false" customWidth="true" hidden="false" outlineLevel="0" max="7" min="7" style="0" width="8.71"/>
    <col collapsed="false" customWidth="true" hidden="false" outlineLevel="0" max="10" min="8" style="0" width="9.71"/>
    <col collapsed="false" customWidth="true" hidden="false" outlineLevel="0" max="11" min="11" style="0" width="29.86"/>
    <col collapsed="false" customWidth="true" hidden="false" outlineLevel="0" max="13" min="12" style="0" width="8.71"/>
    <col collapsed="false" customWidth="true" hidden="false" outlineLevel="0" max="14" min="14" style="0" width="8.14"/>
    <col collapsed="false" customWidth="true" hidden="false" outlineLevel="0" max="15" min="15" style="0" width="8"/>
    <col collapsed="false" customWidth="true" hidden="false" outlineLevel="0" max="1025" min="16" style="0" width="14.43"/>
  </cols>
  <sheetData>
    <row r="1" customFormat="false" ht="16.5" hidden="false" customHeight="false" outlineLevel="0" collapsed="false">
      <c r="A1" s="5"/>
      <c r="B1" s="175"/>
      <c r="C1" s="186" t="str">
        <f aca="false">Data!A1</f>
        <v>Vidya Pratishthan’s Kamalnayan Bajaj Institute of Engineering &amp; Technology, Baramati</v>
      </c>
      <c r="D1" s="186"/>
      <c r="E1" s="186"/>
      <c r="F1" s="186"/>
      <c r="G1" s="186"/>
      <c r="H1" s="186"/>
      <c r="I1" s="186"/>
      <c r="J1" s="186"/>
      <c r="K1" s="186"/>
      <c r="L1" s="186"/>
      <c r="M1" s="186"/>
      <c r="N1" s="186"/>
      <c r="O1" s="188"/>
    </row>
    <row r="2" customFormat="false" ht="23.25" hidden="false" customHeight="true" outlineLevel="0" collapsed="false">
      <c r="A2" s="5"/>
      <c r="B2" s="175"/>
      <c r="C2" s="189" t="str">
        <f aca="false">"THEORY LECTURE PLAN (" &amp; Data!B19 &amp; " Semester, " &amp; Data!B18 &amp; ")"</f>
        <v>THEORY LECTURE PLAN (First Semester, 2019-20)</v>
      </c>
      <c r="D2" s="189"/>
      <c r="E2" s="189"/>
      <c r="F2" s="189"/>
      <c r="G2" s="189"/>
      <c r="H2" s="189"/>
      <c r="I2" s="189"/>
      <c r="J2" s="189"/>
      <c r="K2" s="189"/>
      <c r="L2" s="189"/>
      <c r="M2" s="189"/>
      <c r="N2" s="189"/>
      <c r="O2" s="5"/>
    </row>
    <row r="3" customFormat="false" ht="20.25" hidden="false" customHeight="true" outlineLevel="0" collapsed="false">
      <c r="A3" s="224"/>
      <c r="B3" s="225" t="s">
        <v>63</v>
      </c>
      <c r="C3" s="225"/>
      <c r="D3" s="224"/>
      <c r="E3" s="5"/>
      <c r="F3" s="226" t="s">
        <v>6</v>
      </c>
      <c r="G3" s="5"/>
      <c r="H3" s="226" t="s">
        <v>64</v>
      </c>
      <c r="I3" s="226" t="s">
        <v>3</v>
      </c>
      <c r="J3" s="227" t="s">
        <v>5</v>
      </c>
      <c r="K3" s="226"/>
      <c r="L3" s="5"/>
      <c r="M3" s="5"/>
      <c r="N3" s="227" t="s">
        <v>76</v>
      </c>
      <c r="O3" s="224"/>
    </row>
    <row r="4" customFormat="false" ht="21" hidden="false" customHeight="true" outlineLevel="0" collapsed="false">
      <c r="A4" s="5"/>
      <c r="B4" s="176" t="str">
        <f aca="false">Data!B9</f>
        <v>Problem Solving and Object Oriented programming</v>
      </c>
      <c r="C4" s="176"/>
      <c r="D4" s="176"/>
      <c r="E4" s="176"/>
      <c r="F4" s="177" t="str">
        <f aca="false">IF(B4&lt;&gt;"", Data!B8, "")</f>
        <v>Mr. D. S. Gaikwad </v>
      </c>
      <c r="G4" s="228"/>
      <c r="H4" s="177" t="str">
        <f aca="false">Data!B5</f>
        <v>IT</v>
      </c>
      <c r="I4" s="177" t="str">
        <f aca="false">Data!B6</f>
        <v>SE</v>
      </c>
      <c r="J4" s="229" t="n">
        <f aca="false">Data!B7</f>
        <v>0</v>
      </c>
      <c r="K4" s="193"/>
      <c r="L4" s="193"/>
      <c r="M4" s="193"/>
      <c r="N4" s="177" t="n">
        <f aca="false">SYL!M4</f>
        <v>6</v>
      </c>
      <c r="O4" s="193"/>
    </row>
    <row r="5" customFormat="false" ht="15.75" hidden="false" customHeight="true" outlineLevel="0" collapsed="false">
      <c r="A5" s="73"/>
      <c r="B5" s="73"/>
      <c r="C5" s="230"/>
      <c r="D5" s="175"/>
      <c r="E5" s="175"/>
      <c r="F5" s="175"/>
      <c r="G5" s="175"/>
      <c r="H5" s="194"/>
      <c r="I5" s="194"/>
      <c r="J5" s="194"/>
      <c r="K5" s="194"/>
      <c r="L5" s="194"/>
      <c r="M5" s="194"/>
      <c r="N5" s="175"/>
      <c r="O5" s="175"/>
    </row>
    <row r="6" customFormat="false" ht="30" hidden="false" customHeight="true" outlineLevel="0" collapsed="false">
      <c r="A6" s="84" t="s">
        <v>105</v>
      </c>
      <c r="B6" s="196" t="s">
        <v>77</v>
      </c>
      <c r="C6" s="231" t="s">
        <v>106</v>
      </c>
      <c r="D6" s="232" t="s">
        <v>107</v>
      </c>
      <c r="E6" s="84" t="s">
        <v>79</v>
      </c>
      <c r="F6" s="84"/>
      <c r="G6" s="84"/>
      <c r="H6" s="84" t="s">
        <v>108</v>
      </c>
      <c r="I6" s="84"/>
      <c r="J6" s="84"/>
      <c r="K6" s="84"/>
      <c r="L6" s="195" t="s">
        <v>109</v>
      </c>
      <c r="M6" s="195"/>
      <c r="N6" s="195"/>
      <c r="O6" s="195" t="s">
        <v>110</v>
      </c>
    </row>
    <row r="7" customFormat="false" ht="30" hidden="false" customHeight="true" outlineLevel="0" collapsed="false">
      <c r="A7" s="80" t="n">
        <v>1</v>
      </c>
      <c r="B7" s="233"/>
      <c r="C7" s="234" t="s">
        <v>111</v>
      </c>
      <c r="D7" s="235"/>
      <c r="E7" s="236" t="s">
        <v>112</v>
      </c>
      <c r="F7" s="236"/>
      <c r="G7" s="236"/>
      <c r="H7" s="236" t="s">
        <v>112</v>
      </c>
      <c r="I7" s="236"/>
      <c r="J7" s="236"/>
      <c r="K7" s="236"/>
      <c r="L7" s="237"/>
      <c r="M7" s="237"/>
      <c r="N7" s="238"/>
      <c r="O7" s="239"/>
    </row>
    <row r="8" customFormat="false" ht="30" hidden="false" customHeight="true" outlineLevel="0" collapsed="false">
      <c r="A8" s="80" t="n">
        <v>2</v>
      </c>
      <c r="B8" s="233" t="s">
        <v>84</v>
      </c>
      <c r="C8" s="234" t="s">
        <v>113</v>
      </c>
      <c r="D8" s="235" t="s">
        <v>85</v>
      </c>
      <c r="E8" s="236" t="s">
        <v>114</v>
      </c>
      <c r="F8" s="236" t="s">
        <v>114</v>
      </c>
      <c r="G8" s="236" t="s">
        <v>114</v>
      </c>
      <c r="H8" s="236" t="s">
        <v>114</v>
      </c>
      <c r="I8" s="236"/>
      <c r="J8" s="236"/>
      <c r="K8" s="236"/>
      <c r="L8" s="237"/>
      <c r="M8" s="237"/>
      <c r="N8" s="240"/>
      <c r="O8" s="239"/>
    </row>
    <row r="9" customFormat="false" ht="30" hidden="false" customHeight="true" outlineLevel="0" collapsed="false">
      <c r="A9" s="80" t="n">
        <v>3</v>
      </c>
      <c r="B9" s="233" t="s">
        <v>84</v>
      </c>
      <c r="C9" s="234" t="s">
        <v>115</v>
      </c>
      <c r="D9" s="235" t="s">
        <v>85</v>
      </c>
      <c r="E9" s="236" t="s">
        <v>116</v>
      </c>
      <c r="F9" s="236" t="s">
        <v>116</v>
      </c>
      <c r="G9" s="236" t="s">
        <v>116</v>
      </c>
      <c r="H9" s="236" t="s">
        <v>116</v>
      </c>
      <c r="I9" s="236"/>
      <c r="J9" s="236"/>
      <c r="K9" s="236"/>
      <c r="L9" s="237"/>
      <c r="M9" s="237"/>
      <c r="N9" s="240"/>
      <c r="O9" s="239"/>
    </row>
    <row r="10" customFormat="false" ht="30" hidden="false" customHeight="true" outlineLevel="0" collapsed="false">
      <c r="A10" s="80" t="n">
        <v>4</v>
      </c>
      <c r="B10" s="233" t="s">
        <v>84</v>
      </c>
      <c r="C10" s="234" t="s">
        <v>117</v>
      </c>
      <c r="D10" s="235" t="s">
        <v>85</v>
      </c>
      <c r="E10" s="236" t="s">
        <v>118</v>
      </c>
      <c r="F10" s="236" t="s">
        <v>118</v>
      </c>
      <c r="G10" s="236" t="s">
        <v>118</v>
      </c>
      <c r="H10" s="236" t="s">
        <v>118</v>
      </c>
      <c r="I10" s="236"/>
      <c r="J10" s="236"/>
      <c r="K10" s="236"/>
      <c r="L10" s="237"/>
      <c r="M10" s="237"/>
      <c r="N10" s="240"/>
      <c r="O10" s="239"/>
    </row>
    <row r="11" customFormat="false" ht="30" hidden="false" customHeight="true" outlineLevel="0" collapsed="false">
      <c r="A11" s="80" t="n">
        <v>5</v>
      </c>
      <c r="B11" s="233" t="s">
        <v>84</v>
      </c>
      <c r="C11" s="241" t="s">
        <v>119</v>
      </c>
      <c r="D11" s="235" t="s">
        <v>85</v>
      </c>
      <c r="E11" s="236" t="s">
        <v>120</v>
      </c>
      <c r="F11" s="236" t="s">
        <v>121</v>
      </c>
      <c r="G11" s="236" t="s">
        <v>121</v>
      </c>
      <c r="H11" s="236" t="s">
        <v>120</v>
      </c>
      <c r="I11" s="236"/>
      <c r="J11" s="236"/>
      <c r="K11" s="236"/>
      <c r="L11" s="237"/>
      <c r="M11" s="237"/>
      <c r="N11" s="240"/>
      <c r="O11" s="239"/>
    </row>
    <row r="12" customFormat="false" ht="30" hidden="false" customHeight="true" outlineLevel="0" collapsed="false">
      <c r="A12" s="80" t="n">
        <v>6</v>
      </c>
      <c r="B12" s="233" t="s">
        <v>84</v>
      </c>
      <c r="C12" s="241" t="s">
        <v>122</v>
      </c>
      <c r="D12" s="235" t="s">
        <v>85</v>
      </c>
      <c r="E12" s="236" t="s">
        <v>123</v>
      </c>
      <c r="F12" s="236" t="s">
        <v>123</v>
      </c>
      <c r="G12" s="236" t="s">
        <v>123</v>
      </c>
      <c r="H12" s="236" t="s">
        <v>123</v>
      </c>
      <c r="I12" s="236"/>
      <c r="J12" s="236"/>
      <c r="K12" s="236"/>
      <c r="L12" s="240"/>
      <c r="M12" s="240"/>
      <c r="N12" s="240"/>
      <c r="O12" s="239"/>
    </row>
    <row r="13" customFormat="false" ht="30" hidden="false" customHeight="true" outlineLevel="0" collapsed="false">
      <c r="A13" s="80" t="n">
        <v>7</v>
      </c>
      <c r="B13" s="233" t="s">
        <v>84</v>
      </c>
      <c r="C13" s="241" t="s">
        <v>124</v>
      </c>
      <c r="D13" s="235" t="s">
        <v>85</v>
      </c>
      <c r="E13" s="236" t="s">
        <v>125</v>
      </c>
      <c r="F13" s="236" t="s">
        <v>125</v>
      </c>
      <c r="G13" s="236" t="s">
        <v>125</v>
      </c>
      <c r="H13" s="236" t="s">
        <v>125</v>
      </c>
      <c r="I13" s="236"/>
      <c r="J13" s="236"/>
      <c r="K13" s="236"/>
      <c r="L13" s="240"/>
      <c r="M13" s="240"/>
      <c r="N13" s="240"/>
      <c r="O13" s="239"/>
    </row>
    <row r="14" customFormat="false" ht="30" hidden="false" customHeight="true" outlineLevel="0" collapsed="false">
      <c r="A14" s="80" t="n">
        <v>8</v>
      </c>
      <c r="B14" s="233" t="s">
        <v>84</v>
      </c>
      <c r="C14" s="241" t="s">
        <v>126</v>
      </c>
      <c r="D14" s="235" t="s">
        <v>85</v>
      </c>
      <c r="E14" s="236" t="s">
        <v>127</v>
      </c>
      <c r="F14" s="236" t="s">
        <v>128</v>
      </c>
      <c r="G14" s="236" t="s">
        <v>128</v>
      </c>
      <c r="H14" s="236" t="s">
        <v>127</v>
      </c>
      <c r="I14" s="236"/>
      <c r="J14" s="236"/>
      <c r="K14" s="236"/>
      <c r="L14" s="240"/>
      <c r="M14" s="240"/>
      <c r="N14" s="240"/>
      <c r="O14" s="239"/>
    </row>
    <row r="15" customFormat="false" ht="30" hidden="false" customHeight="true" outlineLevel="0" collapsed="false">
      <c r="A15" s="80" t="n">
        <v>9</v>
      </c>
      <c r="B15" s="233" t="s">
        <v>84</v>
      </c>
      <c r="C15" s="242" t="s">
        <v>129</v>
      </c>
      <c r="D15" s="235" t="s">
        <v>85</v>
      </c>
      <c r="E15" s="236" t="s">
        <v>130</v>
      </c>
      <c r="F15" s="236" t="s">
        <v>130</v>
      </c>
      <c r="G15" s="236" t="s">
        <v>130</v>
      </c>
      <c r="H15" s="236" t="s">
        <v>130</v>
      </c>
      <c r="I15" s="236"/>
      <c r="J15" s="236"/>
      <c r="K15" s="236"/>
      <c r="L15" s="240"/>
      <c r="M15" s="240"/>
      <c r="N15" s="240"/>
      <c r="O15" s="239"/>
    </row>
    <row r="16" customFormat="false" ht="30" hidden="false" customHeight="true" outlineLevel="0" collapsed="false">
      <c r="A16" s="80" t="n">
        <v>10</v>
      </c>
      <c r="B16" s="233" t="s">
        <v>84</v>
      </c>
      <c r="C16" s="243" t="s">
        <v>131</v>
      </c>
      <c r="D16" s="235" t="s">
        <v>85</v>
      </c>
      <c r="E16" s="236" t="s">
        <v>132</v>
      </c>
      <c r="F16" s="236" t="s">
        <v>132</v>
      </c>
      <c r="G16" s="236" t="s">
        <v>132</v>
      </c>
      <c r="H16" s="236" t="s">
        <v>132</v>
      </c>
      <c r="I16" s="236"/>
      <c r="J16" s="236"/>
      <c r="K16" s="236"/>
      <c r="L16" s="240"/>
      <c r="M16" s="240"/>
      <c r="N16" s="240"/>
      <c r="O16" s="239"/>
    </row>
    <row r="17" customFormat="false" ht="30" hidden="false" customHeight="true" outlineLevel="0" collapsed="false">
      <c r="A17" s="80" t="n">
        <v>11</v>
      </c>
      <c r="B17" s="233" t="s">
        <v>87</v>
      </c>
      <c r="C17" s="243" t="s">
        <v>133</v>
      </c>
      <c r="D17" s="235" t="s">
        <v>88</v>
      </c>
      <c r="E17" s="236" t="s">
        <v>134</v>
      </c>
      <c r="F17" s="236" t="s">
        <v>134</v>
      </c>
      <c r="G17" s="236" t="s">
        <v>134</v>
      </c>
      <c r="H17" s="236" t="s">
        <v>134</v>
      </c>
      <c r="I17" s="236" t="s">
        <v>134</v>
      </c>
      <c r="J17" s="236" t="s">
        <v>134</v>
      </c>
      <c r="K17" s="236" t="s">
        <v>134</v>
      </c>
      <c r="L17" s="240"/>
      <c r="M17" s="240"/>
      <c r="N17" s="240"/>
      <c r="O17" s="239"/>
    </row>
    <row r="18" customFormat="false" ht="30" hidden="false" customHeight="true" outlineLevel="0" collapsed="false">
      <c r="A18" s="80" t="n">
        <v>12</v>
      </c>
      <c r="B18" s="233" t="s">
        <v>87</v>
      </c>
      <c r="C18" s="243" t="s">
        <v>135</v>
      </c>
      <c r="D18" s="235" t="s">
        <v>88</v>
      </c>
      <c r="E18" s="236" t="s">
        <v>136</v>
      </c>
      <c r="F18" s="236" t="s">
        <v>136</v>
      </c>
      <c r="G18" s="236" t="s">
        <v>136</v>
      </c>
      <c r="H18" s="236" t="s">
        <v>136</v>
      </c>
      <c r="I18" s="236" t="s">
        <v>136</v>
      </c>
      <c r="J18" s="236" t="s">
        <v>136</v>
      </c>
      <c r="K18" s="236" t="s">
        <v>136</v>
      </c>
      <c r="L18" s="240"/>
      <c r="M18" s="240"/>
      <c r="N18" s="240"/>
      <c r="O18" s="239"/>
    </row>
    <row r="19" customFormat="false" ht="30" hidden="false" customHeight="true" outlineLevel="0" collapsed="false">
      <c r="A19" s="80" t="n">
        <v>13</v>
      </c>
      <c r="B19" s="233" t="s">
        <v>87</v>
      </c>
      <c r="C19" s="243" t="s">
        <v>137</v>
      </c>
      <c r="D19" s="235" t="s">
        <v>88</v>
      </c>
      <c r="E19" s="236" t="s">
        <v>138</v>
      </c>
      <c r="F19" s="236" t="s">
        <v>138</v>
      </c>
      <c r="G19" s="236" t="s">
        <v>138</v>
      </c>
      <c r="H19" s="236" t="s">
        <v>138</v>
      </c>
      <c r="I19" s="236" t="s">
        <v>138</v>
      </c>
      <c r="J19" s="236" t="s">
        <v>138</v>
      </c>
      <c r="K19" s="236" t="s">
        <v>138</v>
      </c>
      <c r="L19" s="240"/>
      <c r="M19" s="240"/>
      <c r="N19" s="240"/>
      <c r="O19" s="239"/>
    </row>
    <row r="20" customFormat="false" ht="30" hidden="false" customHeight="true" outlineLevel="0" collapsed="false">
      <c r="A20" s="80" t="n">
        <v>14</v>
      </c>
      <c r="B20" s="233" t="s">
        <v>87</v>
      </c>
      <c r="C20" s="243" t="s">
        <v>139</v>
      </c>
      <c r="D20" s="235" t="s">
        <v>88</v>
      </c>
      <c r="E20" s="236" t="s">
        <v>140</v>
      </c>
      <c r="F20" s="236" t="s">
        <v>140</v>
      </c>
      <c r="G20" s="236" t="s">
        <v>140</v>
      </c>
      <c r="H20" s="236" t="s">
        <v>140</v>
      </c>
      <c r="I20" s="236" t="s">
        <v>140</v>
      </c>
      <c r="J20" s="236" t="s">
        <v>140</v>
      </c>
      <c r="K20" s="236" t="s">
        <v>140</v>
      </c>
      <c r="L20" s="240"/>
      <c r="M20" s="240"/>
      <c r="N20" s="240"/>
      <c r="O20" s="239"/>
    </row>
    <row r="21" customFormat="false" ht="30" hidden="false" customHeight="true" outlineLevel="0" collapsed="false">
      <c r="A21" s="80" t="n">
        <v>15</v>
      </c>
      <c r="B21" s="233" t="s">
        <v>87</v>
      </c>
      <c r="C21" s="243" t="s">
        <v>141</v>
      </c>
      <c r="D21" s="235" t="s">
        <v>88</v>
      </c>
      <c r="E21" s="236" t="s">
        <v>142</v>
      </c>
      <c r="F21" s="236" t="s">
        <v>142</v>
      </c>
      <c r="G21" s="236" t="s">
        <v>142</v>
      </c>
      <c r="H21" s="236" t="s">
        <v>142</v>
      </c>
      <c r="I21" s="236" t="s">
        <v>142</v>
      </c>
      <c r="J21" s="236" t="s">
        <v>142</v>
      </c>
      <c r="K21" s="236" t="s">
        <v>142</v>
      </c>
      <c r="L21" s="240"/>
      <c r="M21" s="240"/>
      <c r="N21" s="240"/>
      <c r="O21" s="239"/>
    </row>
    <row r="22" customFormat="false" ht="30" hidden="false" customHeight="true" outlineLevel="0" collapsed="false">
      <c r="A22" s="80" t="n">
        <v>16</v>
      </c>
      <c r="B22" s="233" t="s">
        <v>87</v>
      </c>
      <c r="C22" s="243" t="s">
        <v>143</v>
      </c>
      <c r="D22" s="235" t="s">
        <v>88</v>
      </c>
      <c r="E22" s="236" t="s">
        <v>144</v>
      </c>
      <c r="F22" s="236" t="s">
        <v>144</v>
      </c>
      <c r="G22" s="236" t="s">
        <v>144</v>
      </c>
      <c r="H22" s="236" t="s">
        <v>144</v>
      </c>
      <c r="I22" s="236" t="s">
        <v>144</v>
      </c>
      <c r="J22" s="236" t="s">
        <v>144</v>
      </c>
      <c r="K22" s="236" t="s">
        <v>144</v>
      </c>
      <c r="L22" s="240"/>
      <c r="M22" s="240"/>
      <c r="N22" s="240"/>
      <c r="O22" s="239"/>
    </row>
    <row r="23" customFormat="false" ht="30" hidden="false" customHeight="true" outlineLevel="0" collapsed="false">
      <c r="A23" s="80" t="n">
        <v>17</v>
      </c>
      <c r="B23" s="233" t="s">
        <v>87</v>
      </c>
      <c r="C23" s="243" t="s">
        <v>145</v>
      </c>
      <c r="D23" s="235" t="s">
        <v>88</v>
      </c>
      <c r="E23" s="236" t="s">
        <v>146</v>
      </c>
      <c r="F23" s="236" t="s">
        <v>146</v>
      </c>
      <c r="G23" s="236" t="s">
        <v>146</v>
      </c>
      <c r="H23" s="236" t="s">
        <v>146</v>
      </c>
      <c r="I23" s="236" t="s">
        <v>146</v>
      </c>
      <c r="J23" s="236" t="s">
        <v>146</v>
      </c>
      <c r="K23" s="236" t="s">
        <v>146</v>
      </c>
      <c r="L23" s="240"/>
      <c r="M23" s="240"/>
      <c r="N23" s="240"/>
      <c r="O23" s="239"/>
    </row>
    <row r="24" customFormat="false" ht="49.5" hidden="false" customHeight="true" outlineLevel="0" collapsed="false">
      <c r="A24" s="80" t="n">
        <v>18</v>
      </c>
      <c r="B24" s="233" t="s">
        <v>90</v>
      </c>
      <c r="C24" s="243" t="s">
        <v>147</v>
      </c>
      <c r="D24" s="235" t="s">
        <v>91</v>
      </c>
      <c r="E24" s="236" t="s">
        <v>148</v>
      </c>
      <c r="F24" s="236" t="s">
        <v>148</v>
      </c>
      <c r="G24" s="236" t="s">
        <v>148</v>
      </c>
      <c r="H24" s="236" t="s">
        <v>148</v>
      </c>
      <c r="I24" s="236" t="s">
        <v>148</v>
      </c>
      <c r="J24" s="236" t="s">
        <v>148</v>
      </c>
      <c r="K24" s="236" t="s">
        <v>148</v>
      </c>
      <c r="L24" s="240"/>
      <c r="M24" s="240"/>
      <c r="N24" s="240"/>
      <c r="O24" s="239"/>
    </row>
    <row r="25" customFormat="false" ht="30" hidden="false" customHeight="true" outlineLevel="0" collapsed="false">
      <c r="A25" s="80" t="n">
        <v>19</v>
      </c>
      <c r="B25" s="233" t="s">
        <v>90</v>
      </c>
      <c r="C25" s="243" t="s">
        <v>149</v>
      </c>
      <c r="D25" s="235" t="s">
        <v>91</v>
      </c>
      <c r="E25" s="236" t="s">
        <v>150</v>
      </c>
      <c r="F25" s="236" t="s">
        <v>150</v>
      </c>
      <c r="G25" s="236" t="s">
        <v>150</v>
      </c>
      <c r="H25" s="236" t="s">
        <v>150</v>
      </c>
      <c r="I25" s="236" t="s">
        <v>150</v>
      </c>
      <c r="J25" s="236" t="s">
        <v>150</v>
      </c>
      <c r="K25" s="236" t="s">
        <v>150</v>
      </c>
      <c r="L25" s="240"/>
      <c r="M25" s="240"/>
      <c r="N25" s="240"/>
      <c r="O25" s="239"/>
    </row>
    <row r="26" customFormat="false" ht="30" hidden="false" customHeight="true" outlineLevel="0" collapsed="false">
      <c r="A26" s="80" t="n">
        <v>20</v>
      </c>
      <c r="B26" s="233" t="s">
        <v>90</v>
      </c>
      <c r="C26" s="243" t="s">
        <v>151</v>
      </c>
      <c r="D26" s="235" t="s">
        <v>91</v>
      </c>
      <c r="E26" s="236" t="s">
        <v>152</v>
      </c>
      <c r="F26" s="236" t="s">
        <v>152</v>
      </c>
      <c r="G26" s="236" t="s">
        <v>152</v>
      </c>
      <c r="H26" s="236" t="s">
        <v>152</v>
      </c>
      <c r="I26" s="236" t="s">
        <v>152</v>
      </c>
      <c r="J26" s="236" t="s">
        <v>152</v>
      </c>
      <c r="K26" s="236" t="s">
        <v>152</v>
      </c>
      <c r="L26" s="240"/>
      <c r="M26" s="240"/>
      <c r="N26" s="240"/>
      <c r="O26" s="239"/>
    </row>
    <row r="27" customFormat="false" ht="46.5" hidden="false" customHeight="true" outlineLevel="0" collapsed="false">
      <c r="A27" s="80" t="n">
        <v>21</v>
      </c>
      <c r="B27" s="233" t="s">
        <v>90</v>
      </c>
      <c r="C27" s="243" t="s">
        <v>153</v>
      </c>
      <c r="D27" s="235" t="s">
        <v>91</v>
      </c>
      <c r="E27" s="236" t="s">
        <v>154</v>
      </c>
      <c r="F27" s="236" t="s">
        <v>154</v>
      </c>
      <c r="G27" s="236" t="s">
        <v>154</v>
      </c>
      <c r="H27" s="236" t="s">
        <v>154</v>
      </c>
      <c r="I27" s="236" t="s">
        <v>154</v>
      </c>
      <c r="J27" s="236" t="s">
        <v>154</v>
      </c>
      <c r="K27" s="236" t="s">
        <v>154</v>
      </c>
      <c r="L27" s="240"/>
      <c r="M27" s="240"/>
      <c r="N27" s="240"/>
      <c r="O27" s="239"/>
    </row>
    <row r="28" customFormat="false" ht="30" hidden="false" customHeight="true" outlineLevel="0" collapsed="false">
      <c r="A28" s="80" t="n">
        <v>22</v>
      </c>
      <c r="B28" s="233" t="s">
        <v>90</v>
      </c>
      <c r="C28" s="243" t="s">
        <v>155</v>
      </c>
      <c r="D28" s="235" t="s">
        <v>91</v>
      </c>
      <c r="E28" s="236" t="s">
        <v>156</v>
      </c>
      <c r="F28" s="236" t="s">
        <v>156</v>
      </c>
      <c r="G28" s="236" t="s">
        <v>156</v>
      </c>
      <c r="H28" s="236" t="s">
        <v>156</v>
      </c>
      <c r="I28" s="236" t="s">
        <v>156</v>
      </c>
      <c r="J28" s="236" t="s">
        <v>156</v>
      </c>
      <c r="K28" s="236" t="s">
        <v>156</v>
      </c>
      <c r="L28" s="240"/>
      <c r="M28" s="240"/>
      <c r="N28" s="240"/>
      <c r="O28" s="239"/>
    </row>
    <row r="29" customFormat="false" ht="30" hidden="false" customHeight="true" outlineLevel="0" collapsed="false">
      <c r="A29" s="80" t="n">
        <v>23</v>
      </c>
      <c r="B29" s="233" t="s">
        <v>90</v>
      </c>
      <c r="C29" s="243" t="s">
        <v>157</v>
      </c>
      <c r="D29" s="235" t="s">
        <v>91</v>
      </c>
      <c r="E29" s="236" t="s">
        <v>158</v>
      </c>
      <c r="F29" s="236" t="s">
        <v>158</v>
      </c>
      <c r="G29" s="236" t="s">
        <v>158</v>
      </c>
      <c r="H29" s="236" t="s">
        <v>158</v>
      </c>
      <c r="I29" s="236" t="s">
        <v>158</v>
      </c>
      <c r="J29" s="236" t="s">
        <v>158</v>
      </c>
      <c r="K29" s="236" t="s">
        <v>158</v>
      </c>
      <c r="L29" s="240"/>
      <c r="M29" s="240"/>
      <c r="N29" s="240"/>
      <c r="O29" s="239"/>
    </row>
    <row r="30" customFormat="false" ht="30" hidden="false" customHeight="true" outlineLevel="0" collapsed="false">
      <c r="A30" s="80" t="n">
        <v>24</v>
      </c>
      <c r="B30" s="233" t="s">
        <v>90</v>
      </c>
      <c r="C30" s="243" t="s">
        <v>159</v>
      </c>
      <c r="D30" s="235" t="s">
        <v>91</v>
      </c>
      <c r="E30" s="236" t="s">
        <v>160</v>
      </c>
      <c r="F30" s="236" t="s">
        <v>160</v>
      </c>
      <c r="G30" s="236" t="s">
        <v>160</v>
      </c>
      <c r="H30" s="236" t="s">
        <v>160</v>
      </c>
      <c r="I30" s="236" t="s">
        <v>160</v>
      </c>
      <c r="J30" s="236" t="s">
        <v>160</v>
      </c>
      <c r="K30" s="236" t="s">
        <v>160</v>
      </c>
      <c r="L30" s="240"/>
      <c r="M30" s="240"/>
      <c r="N30" s="240"/>
      <c r="O30" s="239"/>
    </row>
    <row r="31" customFormat="false" ht="30" hidden="false" customHeight="true" outlineLevel="0" collapsed="false">
      <c r="A31" s="80" t="n">
        <v>25</v>
      </c>
      <c r="B31" s="233" t="s">
        <v>93</v>
      </c>
      <c r="C31" s="243" t="s">
        <v>161</v>
      </c>
      <c r="D31" s="235" t="s">
        <v>94</v>
      </c>
      <c r="E31" s="244" t="s">
        <v>162</v>
      </c>
      <c r="F31" s="244" t="s">
        <v>162</v>
      </c>
      <c r="G31" s="244" t="s">
        <v>162</v>
      </c>
      <c r="H31" s="244" t="s">
        <v>162</v>
      </c>
      <c r="I31" s="244" t="s">
        <v>162</v>
      </c>
      <c r="J31" s="244" t="s">
        <v>162</v>
      </c>
      <c r="K31" s="244" t="s">
        <v>162</v>
      </c>
      <c r="L31" s="240"/>
      <c r="M31" s="240"/>
      <c r="N31" s="240"/>
      <c r="O31" s="239"/>
    </row>
    <row r="32" customFormat="false" ht="43.5" hidden="false" customHeight="true" outlineLevel="0" collapsed="false">
      <c r="A32" s="80" t="n">
        <v>26</v>
      </c>
      <c r="B32" s="233" t="s">
        <v>93</v>
      </c>
      <c r="C32" s="243" t="s">
        <v>163</v>
      </c>
      <c r="D32" s="235" t="s">
        <v>94</v>
      </c>
      <c r="E32" s="236" t="s">
        <v>164</v>
      </c>
      <c r="F32" s="236" t="s">
        <v>164</v>
      </c>
      <c r="G32" s="236" t="s">
        <v>164</v>
      </c>
      <c r="H32" s="236" t="s">
        <v>164</v>
      </c>
      <c r="I32" s="236" t="s">
        <v>164</v>
      </c>
      <c r="J32" s="236" t="s">
        <v>164</v>
      </c>
      <c r="K32" s="236" t="s">
        <v>164</v>
      </c>
      <c r="L32" s="240"/>
      <c r="M32" s="240"/>
      <c r="N32" s="240"/>
      <c r="O32" s="239"/>
    </row>
    <row r="33" customFormat="false" ht="30" hidden="false" customHeight="true" outlineLevel="0" collapsed="false">
      <c r="A33" s="80" t="n">
        <v>27</v>
      </c>
      <c r="B33" s="233" t="s">
        <v>93</v>
      </c>
      <c r="C33" s="243" t="s">
        <v>165</v>
      </c>
      <c r="D33" s="235" t="s">
        <v>94</v>
      </c>
      <c r="E33" s="236" t="s">
        <v>166</v>
      </c>
      <c r="F33" s="236" t="s">
        <v>166</v>
      </c>
      <c r="G33" s="236" t="s">
        <v>166</v>
      </c>
      <c r="H33" s="236" t="s">
        <v>166</v>
      </c>
      <c r="I33" s="236" t="s">
        <v>166</v>
      </c>
      <c r="J33" s="236" t="s">
        <v>166</v>
      </c>
      <c r="K33" s="236" t="s">
        <v>166</v>
      </c>
      <c r="L33" s="240"/>
      <c r="M33" s="240"/>
      <c r="N33" s="240"/>
      <c r="O33" s="239"/>
    </row>
    <row r="34" customFormat="false" ht="30" hidden="false" customHeight="true" outlineLevel="0" collapsed="false">
      <c r="A34" s="80" t="n">
        <v>28</v>
      </c>
      <c r="B34" s="233" t="s">
        <v>93</v>
      </c>
      <c r="C34" s="243" t="s">
        <v>167</v>
      </c>
      <c r="D34" s="235" t="s">
        <v>94</v>
      </c>
      <c r="E34" s="236" t="s">
        <v>168</v>
      </c>
      <c r="F34" s="236" t="s">
        <v>168</v>
      </c>
      <c r="G34" s="236" t="s">
        <v>168</v>
      </c>
      <c r="H34" s="236" t="s">
        <v>168</v>
      </c>
      <c r="I34" s="236" t="s">
        <v>168</v>
      </c>
      <c r="J34" s="236" t="s">
        <v>168</v>
      </c>
      <c r="K34" s="236" t="s">
        <v>168</v>
      </c>
      <c r="L34" s="240"/>
      <c r="M34" s="240"/>
      <c r="N34" s="240"/>
      <c r="O34" s="239"/>
    </row>
    <row r="35" customFormat="false" ht="30" hidden="false" customHeight="true" outlineLevel="0" collapsed="false">
      <c r="A35" s="80" t="n">
        <v>29</v>
      </c>
      <c r="B35" s="233" t="s">
        <v>93</v>
      </c>
      <c r="C35" s="243" t="s">
        <v>169</v>
      </c>
      <c r="D35" s="235" t="s">
        <v>94</v>
      </c>
      <c r="E35" s="236" t="s">
        <v>170</v>
      </c>
      <c r="F35" s="236" t="s">
        <v>170</v>
      </c>
      <c r="G35" s="236" t="s">
        <v>170</v>
      </c>
      <c r="H35" s="236" t="s">
        <v>170</v>
      </c>
      <c r="I35" s="236" t="s">
        <v>170</v>
      </c>
      <c r="J35" s="236" t="s">
        <v>170</v>
      </c>
      <c r="K35" s="236" t="s">
        <v>170</v>
      </c>
      <c r="L35" s="240"/>
      <c r="M35" s="240"/>
      <c r="N35" s="240"/>
      <c r="O35" s="239"/>
    </row>
    <row r="36" customFormat="false" ht="30" hidden="false" customHeight="true" outlineLevel="0" collapsed="false">
      <c r="A36" s="80" t="n">
        <v>30</v>
      </c>
      <c r="B36" s="233" t="s">
        <v>93</v>
      </c>
      <c r="C36" s="243" t="s">
        <v>171</v>
      </c>
      <c r="D36" s="235" t="s">
        <v>94</v>
      </c>
      <c r="E36" s="244" t="s">
        <v>172</v>
      </c>
      <c r="F36" s="244" t="s">
        <v>172</v>
      </c>
      <c r="G36" s="244" t="s">
        <v>172</v>
      </c>
      <c r="H36" s="244" t="s">
        <v>172</v>
      </c>
      <c r="I36" s="244" t="s">
        <v>172</v>
      </c>
      <c r="J36" s="244" t="s">
        <v>172</v>
      </c>
      <c r="K36" s="244" t="s">
        <v>172</v>
      </c>
      <c r="L36" s="245"/>
      <c r="M36" s="245"/>
      <c r="N36" s="245"/>
      <c r="O36" s="246"/>
    </row>
    <row r="37" customFormat="false" ht="30" hidden="false" customHeight="true" outlineLevel="0" collapsed="false">
      <c r="A37" s="80" t="n">
        <v>31</v>
      </c>
      <c r="B37" s="233" t="s">
        <v>93</v>
      </c>
      <c r="C37" s="243" t="s">
        <v>173</v>
      </c>
      <c r="D37" s="235" t="s">
        <v>94</v>
      </c>
      <c r="E37" s="244" t="s">
        <v>174</v>
      </c>
      <c r="F37" s="244" t="s">
        <v>174</v>
      </c>
      <c r="G37" s="244" t="s">
        <v>174</v>
      </c>
      <c r="H37" s="244" t="s">
        <v>174</v>
      </c>
      <c r="I37" s="244" t="s">
        <v>174</v>
      </c>
      <c r="J37" s="244" t="s">
        <v>174</v>
      </c>
      <c r="K37" s="244" t="s">
        <v>174</v>
      </c>
      <c r="L37" s="245"/>
      <c r="M37" s="245"/>
      <c r="N37" s="245"/>
      <c r="O37" s="246"/>
    </row>
    <row r="38" customFormat="false" ht="30" hidden="false" customHeight="true" outlineLevel="0" collapsed="false">
      <c r="A38" s="80" t="n">
        <v>32</v>
      </c>
      <c r="B38" s="233" t="s">
        <v>93</v>
      </c>
      <c r="C38" s="243" t="s">
        <v>175</v>
      </c>
      <c r="D38" s="235" t="s">
        <v>94</v>
      </c>
      <c r="E38" s="244" t="s">
        <v>176</v>
      </c>
      <c r="F38" s="244" t="s">
        <v>176</v>
      </c>
      <c r="G38" s="244" t="s">
        <v>176</v>
      </c>
      <c r="H38" s="244" t="s">
        <v>176</v>
      </c>
      <c r="I38" s="244" t="s">
        <v>176</v>
      </c>
      <c r="J38" s="244" t="s">
        <v>176</v>
      </c>
      <c r="K38" s="244" t="s">
        <v>176</v>
      </c>
      <c r="L38" s="245"/>
      <c r="M38" s="245"/>
      <c r="N38" s="245"/>
      <c r="O38" s="246"/>
    </row>
    <row r="39" customFormat="false" ht="30" hidden="false" customHeight="true" outlineLevel="0" collapsed="false">
      <c r="A39" s="80" t="n">
        <v>33</v>
      </c>
      <c r="B39" s="233" t="s">
        <v>96</v>
      </c>
      <c r="C39" s="243" t="s">
        <v>177</v>
      </c>
      <c r="D39" s="235" t="s">
        <v>97</v>
      </c>
      <c r="E39" s="236" t="s">
        <v>178</v>
      </c>
      <c r="F39" s="236" t="s">
        <v>178</v>
      </c>
      <c r="G39" s="236" t="s">
        <v>178</v>
      </c>
      <c r="H39" s="236" t="s">
        <v>178</v>
      </c>
      <c r="I39" s="236" t="s">
        <v>178</v>
      </c>
      <c r="J39" s="236" t="s">
        <v>178</v>
      </c>
      <c r="K39" s="236" t="s">
        <v>178</v>
      </c>
      <c r="L39" s="245"/>
      <c r="M39" s="245"/>
      <c r="N39" s="245"/>
      <c r="O39" s="246"/>
    </row>
    <row r="40" customFormat="false" ht="30" hidden="false" customHeight="true" outlineLevel="0" collapsed="false">
      <c r="A40" s="80" t="n">
        <v>34</v>
      </c>
      <c r="B40" s="233" t="s">
        <v>96</v>
      </c>
      <c r="C40" s="243" t="s">
        <v>179</v>
      </c>
      <c r="D40" s="235" t="s">
        <v>97</v>
      </c>
      <c r="E40" s="236" t="s">
        <v>180</v>
      </c>
      <c r="F40" s="236" t="s">
        <v>180</v>
      </c>
      <c r="G40" s="236" t="s">
        <v>180</v>
      </c>
      <c r="H40" s="236" t="s">
        <v>180</v>
      </c>
      <c r="I40" s="236" t="s">
        <v>180</v>
      </c>
      <c r="J40" s="236" t="s">
        <v>180</v>
      </c>
      <c r="K40" s="236" t="s">
        <v>180</v>
      </c>
      <c r="L40" s="245"/>
      <c r="M40" s="245"/>
      <c r="N40" s="245"/>
      <c r="O40" s="246"/>
    </row>
    <row r="41" customFormat="false" ht="30" hidden="false" customHeight="true" outlineLevel="0" collapsed="false">
      <c r="A41" s="80" t="n">
        <v>35</v>
      </c>
      <c r="B41" s="233" t="s">
        <v>96</v>
      </c>
      <c r="C41" s="243" t="s">
        <v>181</v>
      </c>
      <c r="D41" s="235" t="s">
        <v>97</v>
      </c>
      <c r="E41" s="236" t="s">
        <v>182</v>
      </c>
      <c r="F41" s="236" t="s">
        <v>182</v>
      </c>
      <c r="G41" s="236" t="s">
        <v>182</v>
      </c>
      <c r="H41" s="236" t="s">
        <v>182</v>
      </c>
      <c r="I41" s="236" t="s">
        <v>182</v>
      </c>
      <c r="J41" s="236" t="s">
        <v>182</v>
      </c>
      <c r="K41" s="236" t="s">
        <v>182</v>
      </c>
      <c r="L41" s="245"/>
      <c r="M41" s="245"/>
      <c r="N41" s="245"/>
      <c r="O41" s="246"/>
    </row>
    <row r="42" customFormat="false" ht="30" hidden="false" customHeight="true" outlineLevel="0" collapsed="false">
      <c r="A42" s="80" t="n">
        <v>36</v>
      </c>
      <c r="B42" s="233" t="s">
        <v>96</v>
      </c>
      <c r="C42" s="243" t="s">
        <v>183</v>
      </c>
      <c r="D42" s="235" t="s">
        <v>97</v>
      </c>
      <c r="E42" s="236" t="s">
        <v>184</v>
      </c>
      <c r="F42" s="236" t="s">
        <v>184</v>
      </c>
      <c r="G42" s="236" t="s">
        <v>184</v>
      </c>
      <c r="H42" s="236" t="s">
        <v>184</v>
      </c>
      <c r="I42" s="236" t="s">
        <v>184</v>
      </c>
      <c r="J42" s="236" t="s">
        <v>184</v>
      </c>
      <c r="K42" s="236" t="s">
        <v>184</v>
      </c>
      <c r="L42" s="245"/>
      <c r="M42" s="245"/>
      <c r="N42" s="245"/>
      <c r="O42" s="246"/>
    </row>
    <row r="43" customFormat="false" ht="30" hidden="false" customHeight="true" outlineLevel="0" collapsed="false">
      <c r="A43" s="80" t="n">
        <v>37</v>
      </c>
      <c r="B43" s="233" t="s">
        <v>96</v>
      </c>
      <c r="C43" s="243" t="s">
        <v>185</v>
      </c>
      <c r="D43" s="235" t="s">
        <v>97</v>
      </c>
      <c r="E43" s="236" t="s">
        <v>186</v>
      </c>
      <c r="F43" s="236" t="s">
        <v>186</v>
      </c>
      <c r="G43" s="236" t="s">
        <v>186</v>
      </c>
      <c r="H43" s="236" t="s">
        <v>186</v>
      </c>
      <c r="I43" s="236" t="s">
        <v>186</v>
      </c>
      <c r="J43" s="236" t="s">
        <v>186</v>
      </c>
      <c r="K43" s="236" t="s">
        <v>186</v>
      </c>
      <c r="L43" s="245"/>
      <c r="M43" s="245"/>
      <c r="N43" s="245"/>
      <c r="O43" s="246"/>
    </row>
    <row r="44" s="218" customFormat="true" ht="30" hidden="false" customHeight="true" outlineLevel="0" collapsed="false">
      <c r="A44" s="80" t="n">
        <v>38</v>
      </c>
      <c r="B44" s="233" t="s">
        <v>96</v>
      </c>
      <c r="C44" s="243" t="s">
        <v>187</v>
      </c>
      <c r="D44" s="235" t="s">
        <v>97</v>
      </c>
      <c r="E44" s="236" t="s">
        <v>188</v>
      </c>
      <c r="F44" s="236" t="s">
        <v>188</v>
      </c>
      <c r="G44" s="236" t="s">
        <v>188</v>
      </c>
      <c r="H44" s="236" t="s">
        <v>188</v>
      </c>
      <c r="I44" s="236" t="s">
        <v>188</v>
      </c>
      <c r="J44" s="236" t="s">
        <v>188</v>
      </c>
      <c r="K44" s="236" t="s">
        <v>188</v>
      </c>
      <c r="L44" s="240"/>
      <c r="M44" s="240"/>
      <c r="N44" s="240"/>
      <c r="O44" s="239"/>
    </row>
    <row r="45" s="218" customFormat="true" ht="30" hidden="false" customHeight="true" outlineLevel="0" collapsed="false">
      <c r="A45" s="80" t="n">
        <v>39</v>
      </c>
      <c r="B45" s="233" t="s">
        <v>96</v>
      </c>
      <c r="C45" s="243" t="s">
        <v>189</v>
      </c>
      <c r="D45" s="235" t="s">
        <v>97</v>
      </c>
      <c r="E45" s="236" t="s">
        <v>190</v>
      </c>
      <c r="F45" s="236" t="s">
        <v>190</v>
      </c>
      <c r="G45" s="236" t="s">
        <v>190</v>
      </c>
      <c r="H45" s="236" t="s">
        <v>190</v>
      </c>
      <c r="I45" s="236" t="s">
        <v>190</v>
      </c>
      <c r="J45" s="236" t="s">
        <v>190</v>
      </c>
      <c r="K45" s="236" t="s">
        <v>190</v>
      </c>
      <c r="L45" s="240"/>
      <c r="M45" s="240"/>
      <c r="N45" s="240"/>
      <c r="O45" s="239"/>
    </row>
    <row r="46" s="218" customFormat="true" ht="30" hidden="false" customHeight="true" outlineLevel="0" collapsed="false">
      <c r="A46" s="80" t="n">
        <v>40</v>
      </c>
      <c r="B46" s="233" t="s">
        <v>99</v>
      </c>
      <c r="C46" s="243" t="s">
        <v>191</v>
      </c>
      <c r="D46" s="235" t="s">
        <v>100</v>
      </c>
      <c r="E46" s="236" t="s">
        <v>192</v>
      </c>
      <c r="F46" s="236" t="s">
        <v>192</v>
      </c>
      <c r="G46" s="236" t="s">
        <v>192</v>
      </c>
      <c r="H46" s="236" t="s">
        <v>192</v>
      </c>
      <c r="I46" s="236" t="s">
        <v>192</v>
      </c>
      <c r="J46" s="236" t="s">
        <v>192</v>
      </c>
      <c r="K46" s="236" t="s">
        <v>192</v>
      </c>
      <c r="L46" s="245"/>
      <c r="M46" s="245"/>
      <c r="N46" s="245"/>
      <c r="O46" s="246"/>
    </row>
    <row r="47" s="218" customFormat="true" ht="30" hidden="false" customHeight="true" outlineLevel="0" collapsed="false">
      <c r="A47" s="80" t="n">
        <v>41</v>
      </c>
      <c r="B47" s="233" t="s">
        <v>99</v>
      </c>
      <c r="C47" s="243" t="s">
        <v>193</v>
      </c>
      <c r="D47" s="235" t="s">
        <v>100</v>
      </c>
      <c r="E47" s="236" t="s">
        <v>194</v>
      </c>
      <c r="F47" s="236" t="s">
        <v>194</v>
      </c>
      <c r="G47" s="236" t="s">
        <v>194</v>
      </c>
      <c r="H47" s="236" t="s">
        <v>194</v>
      </c>
      <c r="I47" s="236" t="s">
        <v>194</v>
      </c>
      <c r="J47" s="236" t="s">
        <v>194</v>
      </c>
      <c r="K47" s="236" t="s">
        <v>194</v>
      </c>
      <c r="L47" s="245"/>
      <c r="M47" s="245"/>
      <c r="N47" s="245"/>
      <c r="O47" s="246"/>
    </row>
    <row r="48" s="218" customFormat="true" ht="30" hidden="false" customHeight="true" outlineLevel="0" collapsed="false">
      <c r="A48" s="80" t="n">
        <v>42</v>
      </c>
      <c r="B48" s="233" t="s">
        <v>99</v>
      </c>
      <c r="C48" s="243" t="s">
        <v>195</v>
      </c>
      <c r="D48" s="235" t="s">
        <v>100</v>
      </c>
      <c r="E48" s="236" t="s">
        <v>196</v>
      </c>
      <c r="F48" s="236" t="s">
        <v>196</v>
      </c>
      <c r="G48" s="236" t="s">
        <v>196</v>
      </c>
      <c r="H48" s="236" t="s">
        <v>196</v>
      </c>
      <c r="I48" s="236" t="s">
        <v>196</v>
      </c>
      <c r="J48" s="236" t="s">
        <v>196</v>
      </c>
      <c r="K48" s="236" t="s">
        <v>196</v>
      </c>
      <c r="L48" s="245"/>
      <c r="M48" s="245"/>
      <c r="N48" s="245"/>
      <c r="O48" s="246"/>
    </row>
    <row r="49" s="218" customFormat="true" ht="30" hidden="false" customHeight="true" outlineLevel="0" collapsed="false">
      <c r="A49" s="80" t="n">
        <v>43</v>
      </c>
      <c r="B49" s="233" t="s">
        <v>99</v>
      </c>
      <c r="C49" s="243" t="s">
        <v>197</v>
      </c>
      <c r="D49" s="235" t="s">
        <v>100</v>
      </c>
      <c r="E49" s="236" t="s">
        <v>198</v>
      </c>
      <c r="F49" s="236" t="s">
        <v>198</v>
      </c>
      <c r="G49" s="236" t="s">
        <v>198</v>
      </c>
      <c r="H49" s="236" t="s">
        <v>198</v>
      </c>
      <c r="I49" s="236" t="s">
        <v>198</v>
      </c>
      <c r="J49" s="236" t="s">
        <v>198</v>
      </c>
      <c r="K49" s="236" t="s">
        <v>198</v>
      </c>
      <c r="L49" s="245"/>
      <c r="M49" s="245"/>
      <c r="N49" s="245"/>
      <c r="O49" s="246"/>
    </row>
    <row r="50" s="218" customFormat="true" ht="30" hidden="false" customHeight="true" outlineLevel="0" collapsed="false">
      <c r="A50" s="80" t="n">
        <v>44</v>
      </c>
      <c r="B50" s="233" t="s">
        <v>99</v>
      </c>
      <c r="C50" s="243" t="s">
        <v>199</v>
      </c>
      <c r="D50" s="235" t="s">
        <v>100</v>
      </c>
      <c r="E50" s="236" t="s">
        <v>200</v>
      </c>
      <c r="F50" s="236" t="s">
        <v>200</v>
      </c>
      <c r="G50" s="236" t="s">
        <v>200</v>
      </c>
      <c r="H50" s="236" t="s">
        <v>200</v>
      </c>
      <c r="I50" s="236" t="s">
        <v>200</v>
      </c>
      <c r="J50" s="236" t="s">
        <v>200</v>
      </c>
      <c r="K50" s="236" t="s">
        <v>200</v>
      </c>
      <c r="L50" s="245"/>
      <c r="M50" s="245"/>
      <c r="N50" s="245"/>
      <c r="O50" s="246"/>
    </row>
    <row r="51" s="218" customFormat="true" ht="30" hidden="false" customHeight="true" outlineLevel="0" collapsed="false">
      <c r="A51" s="80" t="n">
        <v>45</v>
      </c>
      <c r="B51" s="233" t="s">
        <v>99</v>
      </c>
      <c r="C51" s="243" t="s">
        <v>201</v>
      </c>
      <c r="D51" s="235" t="s">
        <v>100</v>
      </c>
      <c r="E51" s="236" t="s">
        <v>202</v>
      </c>
      <c r="F51" s="236" t="s">
        <v>202</v>
      </c>
      <c r="G51" s="236" t="s">
        <v>202</v>
      </c>
      <c r="H51" s="236" t="s">
        <v>202</v>
      </c>
      <c r="I51" s="236" t="s">
        <v>202</v>
      </c>
      <c r="J51" s="236" t="s">
        <v>202</v>
      </c>
      <c r="K51" s="236" t="s">
        <v>202</v>
      </c>
      <c r="L51" s="245"/>
      <c r="M51" s="245"/>
      <c r="N51" s="245"/>
      <c r="O51" s="246"/>
    </row>
    <row r="52" s="218" customFormat="true" ht="30" hidden="false" customHeight="true" outlineLevel="0" collapsed="false">
      <c r="A52" s="80" t="n">
        <v>46</v>
      </c>
      <c r="B52" s="233" t="s">
        <v>99</v>
      </c>
      <c r="C52" s="243" t="s">
        <v>203</v>
      </c>
      <c r="D52" s="235" t="s">
        <v>100</v>
      </c>
      <c r="E52" s="236" t="s">
        <v>204</v>
      </c>
      <c r="F52" s="236" t="s">
        <v>204</v>
      </c>
      <c r="G52" s="236" t="s">
        <v>204</v>
      </c>
      <c r="H52" s="236" t="s">
        <v>204</v>
      </c>
      <c r="I52" s="236" t="s">
        <v>204</v>
      </c>
      <c r="J52" s="236" t="s">
        <v>204</v>
      </c>
      <c r="K52" s="236" t="s">
        <v>204</v>
      </c>
      <c r="L52" s="245"/>
      <c r="M52" s="245"/>
      <c r="N52" s="245"/>
      <c r="O52" s="246"/>
    </row>
    <row r="53" s="218" customFormat="true" ht="30" hidden="false" customHeight="true" outlineLevel="0" collapsed="false">
      <c r="A53" s="80" t="n">
        <v>47</v>
      </c>
      <c r="B53" s="233"/>
      <c r="C53" s="243"/>
      <c r="D53" s="235"/>
      <c r="E53" s="236"/>
      <c r="F53" s="236"/>
      <c r="G53" s="236"/>
      <c r="H53" s="236"/>
      <c r="I53" s="236"/>
      <c r="J53" s="236"/>
      <c r="K53" s="236"/>
      <c r="L53" s="245"/>
      <c r="M53" s="245"/>
      <c r="N53" s="245"/>
      <c r="O53" s="246"/>
    </row>
    <row r="54" customFormat="false" ht="30" hidden="false" customHeight="true" outlineLevel="0" collapsed="false">
      <c r="A54" s="80" t="n">
        <v>48</v>
      </c>
      <c r="B54" s="247"/>
      <c r="C54" s="243"/>
      <c r="D54" s="248"/>
      <c r="E54" s="249"/>
      <c r="F54" s="249"/>
      <c r="G54" s="249"/>
      <c r="H54" s="249"/>
      <c r="I54" s="249"/>
      <c r="J54" s="249"/>
      <c r="K54" s="249"/>
      <c r="L54" s="245"/>
      <c r="M54" s="245"/>
      <c r="N54" s="245"/>
      <c r="O54" s="246"/>
    </row>
    <row r="55" customFormat="false" ht="30" hidden="false" customHeight="true" outlineLevel="0" collapsed="false">
      <c r="A55" s="80" t="n">
        <v>49</v>
      </c>
      <c r="B55" s="247"/>
      <c r="C55" s="243"/>
      <c r="D55" s="249"/>
      <c r="E55" s="249"/>
      <c r="F55" s="249"/>
      <c r="G55" s="249"/>
      <c r="H55" s="249"/>
      <c r="I55" s="249"/>
      <c r="J55" s="249"/>
      <c r="K55" s="249"/>
      <c r="L55" s="245"/>
      <c r="M55" s="245"/>
      <c r="N55" s="245"/>
      <c r="O55" s="246"/>
    </row>
    <row r="56" customFormat="false" ht="40.5" hidden="false" customHeight="true" outlineLevel="0" collapsed="false">
      <c r="A56" s="175"/>
      <c r="B56" s="175"/>
      <c r="C56" s="170"/>
      <c r="D56" s="170"/>
      <c r="E56" s="5"/>
      <c r="F56" s="5"/>
      <c r="G56" s="5"/>
      <c r="H56" s="5"/>
      <c r="I56" s="5"/>
      <c r="J56" s="5"/>
      <c r="K56" s="5"/>
      <c r="L56" s="170"/>
      <c r="M56" s="170"/>
      <c r="N56" s="170"/>
      <c r="O56" s="175"/>
    </row>
    <row r="57" customFormat="false" ht="12.75" hidden="false" customHeight="true" outlineLevel="0" collapsed="false">
      <c r="A57" s="5"/>
      <c r="B57" s="250" t="str">
        <f aca="false">F4</f>
        <v>Mr. D. S. Gaikwad </v>
      </c>
      <c r="C57" s="250"/>
      <c r="D57" s="250"/>
      <c r="E57" s="251" t="s">
        <v>57</v>
      </c>
      <c r="F57" s="251"/>
      <c r="G57" s="252" t="s">
        <v>58</v>
      </c>
      <c r="H57" s="252"/>
      <c r="I57" s="252"/>
      <c r="J57" s="252"/>
      <c r="K57" s="250" t="str">
        <f aca="false">Data!L18</f>
        <v>Dr. R. S. Bichkar</v>
      </c>
      <c r="L57" s="250"/>
      <c r="M57" s="250"/>
      <c r="N57" s="250"/>
      <c r="O57" s="250"/>
    </row>
    <row r="58" customFormat="false" ht="12.75" hidden="false" customHeight="true" outlineLevel="0" collapsed="false">
      <c r="A58" s="5"/>
      <c r="B58" s="253" t="s">
        <v>59</v>
      </c>
      <c r="C58" s="253"/>
      <c r="D58" s="253"/>
      <c r="E58" s="254" t="s">
        <v>60</v>
      </c>
      <c r="F58" s="254"/>
      <c r="G58" s="253" t="s">
        <v>20</v>
      </c>
      <c r="H58" s="253"/>
      <c r="I58" s="253"/>
      <c r="J58" s="253"/>
      <c r="K58" s="255" t="s">
        <v>205</v>
      </c>
      <c r="L58" s="255"/>
      <c r="M58" s="255"/>
      <c r="N58" s="255"/>
      <c r="O58" s="255"/>
    </row>
  </sheetData>
  <mergeCells count="115">
    <mergeCell ref="C1:N1"/>
    <mergeCell ref="C2:N2"/>
    <mergeCell ref="B3:C3"/>
    <mergeCell ref="B4:E4"/>
    <mergeCell ref="E6:G6"/>
    <mergeCell ref="H6:K6"/>
    <mergeCell ref="L6:N6"/>
    <mergeCell ref="E7:G7"/>
    <mergeCell ref="H7:K7"/>
    <mergeCell ref="E8:G8"/>
    <mergeCell ref="H8:K8"/>
    <mergeCell ref="E9:G9"/>
    <mergeCell ref="H9:K9"/>
    <mergeCell ref="E10:G10"/>
    <mergeCell ref="H10:K10"/>
    <mergeCell ref="E11:G11"/>
    <mergeCell ref="H11:K11"/>
    <mergeCell ref="E12:G12"/>
    <mergeCell ref="H12:K12"/>
    <mergeCell ref="E13:G13"/>
    <mergeCell ref="H13:K13"/>
    <mergeCell ref="E14:G14"/>
    <mergeCell ref="H14:K14"/>
    <mergeCell ref="E15:G15"/>
    <mergeCell ref="H15:K15"/>
    <mergeCell ref="E16:G16"/>
    <mergeCell ref="H16:K16"/>
    <mergeCell ref="E17:G17"/>
    <mergeCell ref="H17:K17"/>
    <mergeCell ref="E18:G18"/>
    <mergeCell ref="H18:K18"/>
    <mergeCell ref="E19:G19"/>
    <mergeCell ref="H19:K19"/>
    <mergeCell ref="E20:G20"/>
    <mergeCell ref="H20:K20"/>
    <mergeCell ref="E21:G21"/>
    <mergeCell ref="H21:K21"/>
    <mergeCell ref="E22:G22"/>
    <mergeCell ref="H22:K22"/>
    <mergeCell ref="E23:G23"/>
    <mergeCell ref="H23:K23"/>
    <mergeCell ref="E24:G24"/>
    <mergeCell ref="H24:K24"/>
    <mergeCell ref="E25:G25"/>
    <mergeCell ref="H25:K25"/>
    <mergeCell ref="E26:G26"/>
    <mergeCell ref="H26:K26"/>
    <mergeCell ref="E27:G27"/>
    <mergeCell ref="H27:K27"/>
    <mergeCell ref="E28:G28"/>
    <mergeCell ref="H28:K28"/>
    <mergeCell ref="E29:G29"/>
    <mergeCell ref="H29:K29"/>
    <mergeCell ref="E30:G30"/>
    <mergeCell ref="H30:K30"/>
    <mergeCell ref="E31:G31"/>
    <mergeCell ref="H31:K31"/>
    <mergeCell ref="E32:G32"/>
    <mergeCell ref="H32:K32"/>
    <mergeCell ref="E33:G33"/>
    <mergeCell ref="H33:K33"/>
    <mergeCell ref="E34:G34"/>
    <mergeCell ref="H34:K34"/>
    <mergeCell ref="E35:G35"/>
    <mergeCell ref="H35:K35"/>
    <mergeCell ref="E36:G36"/>
    <mergeCell ref="H36:K36"/>
    <mergeCell ref="E37:G37"/>
    <mergeCell ref="H37:K37"/>
    <mergeCell ref="E38:G38"/>
    <mergeCell ref="H38:K38"/>
    <mergeCell ref="E39:G39"/>
    <mergeCell ref="H39:K39"/>
    <mergeCell ref="E40:G40"/>
    <mergeCell ref="H40:K40"/>
    <mergeCell ref="E41:G41"/>
    <mergeCell ref="H41:K41"/>
    <mergeCell ref="E42:G42"/>
    <mergeCell ref="H42:K42"/>
    <mergeCell ref="E43:G43"/>
    <mergeCell ref="H43:K43"/>
    <mergeCell ref="E44:G44"/>
    <mergeCell ref="H44:K44"/>
    <mergeCell ref="E45:G45"/>
    <mergeCell ref="H45:K45"/>
    <mergeCell ref="E46:G46"/>
    <mergeCell ref="H46:K46"/>
    <mergeCell ref="E47:G47"/>
    <mergeCell ref="H47:K47"/>
    <mergeCell ref="E48:G48"/>
    <mergeCell ref="H48:K48"/>
    <mergeCell ref="E49:G49"/>
    <mergeCell ref="H49:K49"/>
    <mergeCell ref="E50:G50"/>
    <mergeCell ref="H50:K50"/>
    <mergeCell ref="E51:G51"/>
    <mergeCell ref="H51:K51"/>
    <mergeCell ref="E52:G52"/>
    <mergeCell ref="H52:K52"/>
    <mergeCell ref="E53:G53"/>
    <mergeCell ref="H53:K53"/>
    <mergeCell ref="E54:G54"/>
    <mergeCell ref="H54:K54"/>
    <mergeCell ref="E55:G55"/>
    <mergeCell ref="H55:K55"/>
    <mergeCell ref="C56:D56"/>
    <mergeCell ref="L56:N56"/>
    <mergeCell ref="B57:D57"/>
    <mergeCell ref="E57:F57"/>
    <mergeCell ref="G57:J57"/>
    <mergeCell ref="K57:O57"/>
    <mergeCell ref="B58:D58"/>
    <mergeCell ref="E58:F58"/>
    <mergeCell ref="G58:J58"/>
    <mergeCell ref="K58:O58"/>
  </mergeCells>
  <conditionalFormatting sqref="F55:O55 L7:O54 H7:H54 B7:E55">
    <cfRule type="expression" priority="2" aboveAverage="0" equalAverage="0" bottom="0" percent="0" rank="0" text="" dxfId="0">
      <formula>($N$4=0)</formula>
    </cfRule>
  </conditionalFormatting>
  <printOptions headings="false" gridLines="false" gridLinesSet="true" horizontalCentered="false" verticalCentered="false"/>
  <pageMargins left="0.3" right="0.3" top="0.6" bottom="0.3"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true"/>
  </sheetPr>
  <dimension ref="A1:BN8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218" width="3.57"/>
    <col collapsed="false" customWidth="true" hidden="false" outlineLevel="0" max="2" min="2" style="218" width="9.14"/>
    <col collapsed="false" customWidth="true" hidden="false" outlineLevel="0" max="3" min="3" style="218" width="26.85"/>
    <col collapsed="false" customWidth="true" hidden="false" outlineLevel="0" max="4" min="4" style="218" width="2.85"/>
    <col collapsed="false" customWidth="true" hidden="false" outlineLevel="0" max="64" min="5" style="218" width="2.14"/>
    <col collapsed="false" customWidth="true" hidden="false" outlineLevel="0" max="65" min="65" style="218" width="3.71"/>
    <col collapsed="false" customWidth="true" hidden="false" outlineLevel="0" max="66" min="66" style="218" width="5.57"/>
    <col collapsed="false" customWidth="true" hidden="false" outlineLevel="0" max="1025" min="67" style="218" width="14.43"/>
  </cols>
  <sheetData>
    <row r="1" customFormat="false" ht="16.5" hidden="false" customHeight="false" outlineLevel="0" collapsed="false">
      <c r="A1" s="5"/>
      <c r="B1" s="256"/>
      <c r="C1" s="256"/>
      <c r="D1" s="5"/>
      <c r="E1" s="257" t="str">
        <f aca="false">Data!A1</f>
        <v>Vidya Pratishthan’s Kamalnayan Bajaj Institute of Engineering &amp; Technology, Baramati</v>
      </c>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257"/>
      <c r="AY1" s="257"/>
      <c r="AZ1" s="257"/>
      <c r="BA1" s="257"/>
      <c r="BB1" s="257"/>
      <c r="BC1" s="257"/>
      <c r="BD1" s="257"/>
      <c r="BE1" s="257"/>
      <c r="BF1" s="257"/>
      <c r="BG1" s="257"/>
      <c r="BH1" s="257"/>
      <c r="BI1" s="257"/>
      <c r="BJ1" s="257"/>
      <c r="BK1" s="257"/>
      <c r="BL1" s="257"/>
      <c r="BM1" s="257"/>
      <c r="BN1" s="257"/>
    </row>
    <row r="2" customFormat="false" ht="21.75" hidden="false" customHeight="true" outlineLevel="0" collapsed="false">
      <c r="A2" s="256"/>
      <c r="B2" s="256"/>
      <c r="C2" s="256"/>
      <c r="D2" s="5"/>
      <c r="E2" s="172" t="str">
        <f aca="false">IF($BM$4="THEORY", "THEORY ATTENDANCE RECORD",  IF($BM$4="ACTIVITY", "ACTIVITY ATTENDANCE RECORD",  IF($BM$4="SELF STUDY", "SELF STUDY ATTENDANCE RECORD", "ATTENDANCE RECORD"))) &amp; " (" &amp; Data!B19 &amp; " Semester, " &amp; Data!B18 &amp; ")"</f>
        <v>THEORY ATTENDANCE RECORD (First Semester, 2019-20)</v>
      </c>
      <c r="F2" s="172"/>
      <c r="G2" s="172"/>
      <c r="H2" s="172"/>
      <c r="I2" s="172"/>
      <c r="J2" s="172"/>
      <c r="K2" s="172"/>
      <c r="L2" s="172"/>
      <c r="M2" s="172"/>
      <c r="N2" s="172"/>
      <c r="O2" s="172"/>
      <c r="P2" s="172"/>
      <c r="Q2" s="172"/>
      <c r="R2" s="172"/>
      <c r="S2" s="172"/>
      <c r="T2" s="172"/>
      <c r="U2" s="172"/>
      <c r="V2" s="172"/>
      <c r="W2" s="172"/>
      <c r="X2" s="172"/>
      <c r="Y2" s="172"/>
      <c r="Z2" s="172"/>
      <c r="AA2" s="172"/>
      <c r="AB2" s="172"/>
      <c r="AC2" s="172"/>
      <c r="AD2" s="172"/>
      <c r="AE2" s="172"/>
      <c r="AF2" s="172"/>
      <c r="AG2" s="172"/>
      <c r="AH2" s="172"/>
      <c r="AI2" s="172"/>
      <c r="AJ2" s="172"/>
      <c r="AK2" s="172"/>
      <c r="AL2" s="172"/>
      <c r="AM2" s="172"/>
      <c r="AN2" s="172"/>
      <c r="AO2" s="172"/>
      <c r="AP2" s="172"/>
      <c r="AQ2" s="172"/>
      <c r="AR2" s="172"/>
      <c r="AS2" s="172"/>
      <c r="AT2" s="172"/>
      <c r="AU2" s="172"/>
      <c r="AV2" s="172"/>
      <c r="AW2" s="172"/>
      <c r="AX2" s="172"/>
      <c r="AY2" s="172"/>
      <c r="AZ2" s="172"/>
      <c r="BA2" s="172"/>
      <c r="BB2" s="172"/>
      <c r="BC2" s="172"/>
      <c r="BD2" s="172"/>
      <c r="BE2" s="172"/>
      <c r="BF2" s="172"/>
      <c r="BG2" s="172"/>
      <c r="BH2" s="172"/>
      <c r="BI2" s="172"/>
      <c r="BJ2" s="172"/>
      <c r="BK2" s="172"/>
      <c r="BL2" s="172"/>
      <c r="BM2" s="172"/>
      <c r="BN2" s="172"/>
    </row>
    <row r="3" customFormat="false" ht="15" hidden="false" customHeight="false" outlineLevel="0" collapsed="false">
      <c r="A3" s="258"/>
      <c r="B3" s="258"/>
      <c r="C3" s="258"/>
      <c r="D3" s="226"/>
      <c r="E3" s="259" t="str">
        <f aca="false">IF($BM$4="ACTIVITY", "Activity:", "Subject:")</f>
        <v>Subject:</v>
      </c>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t="s">
        <v>6</v>
      </c>
      <c r="AG3" s="259"/>
      <c r="AH3" s="259"/>
      <c r="AI3" s="259"/>
      <c r="AJ3" s="259"/>
      <c r="AK3" s="259"/>
      <c r="AL3" s="259"/>
      <c r="AM3" s="259"/>
      <c r="AN3" s="259"/>
      <c r="AO3" s="259"/>
      <c r="AP3" s="259"/>
      <c r="AQ3" s="259"/>
      <c r="AR3" s="259"/>
      <c r="AS3" s="259"/>
      <c r="AT3" s="226"/>
      <c r="AU3" s="226"/>
      <c r="AV3" s="226"/>
      <c r="AW3" s="259" t="s">
        <v>64</v>
      </c>
      <c r="AX3" s="259"/>
      <c r="AY3" s="259"/>
      <c r="AZ3" s="259"/>
      <c r="BA3" s="259"/>
      <c r="BB3" s="259" t="s">
        <v>3</v>
      </c>
      <c r="BC3" s="259"/>
      <c r="BD3" s="259"/>
      <c r="BE3" s="259"/>
      <c r="BF3" s="259" t="s">
        <v>206</v>
      </c>
      <c r="BG3" s="259"/>
      <c r="BH3" s="259"/>
      <c r="BI3" s="259"/>
      <c r="BJ3" s="259" t="s">
        <v>207</v>
      </c>
      <c r="BK3" s="259"/>
      <c r="BL3" s="259"/>
      <c r="BM3" s="226"/>
      <c r="BN3" s="193"/>
    </row>
    <row r="4" customFormat="false" ht="15" hidden="false" customHeight="false" outlineLevel="0" collapsed="false">
      <c r="A4" s="256"/>
      <c r="B4" s="256"/>
      <c r="C4" s="256"/>
      <c r="D4" s="5"/>
      <c r="E4" s="177" t="str">
        <f aca="false">IF($BM$4="THEORY", Data!$B$9, "")</f>
        <v>Problem Solving and Object Oriented programming</v>
      </c>
      <c r="F4" s="177"/>
      <c r="G4" s="177"/>
      <c r="H4" s="177"/>
      <c r="I4" s="177"/>
      <c r="J4" s="177"/>
      <c r="K4" s="177"/>
      <c r="L4" s="177"/>
      <c r="M4" s="177"/>
      <c r="N4" s="177"/>
      <c r="O4" s="177"/>
      <c r="P4" s="177"/>
      <c r="Q4" s="177"/>
      <c r="R4" s="177"/>
      <c r="S4" s="177"/>
      <c r="T4" s="177"/>
      <c r="U4" s="177"/>
      <c r="V4" s="177"/>
      <c r="W4" s="177"/>
      <c r="X4" s="177"/>
      <c r="Y4" s="177"/>
      <c r="Z4" s="177"/>
      <c r="AA4" s="177"/>
      <c r="AB4" s="177"/>
      <c r="AC4" s="177"/>
      <c r="AD4" s="177"/>
      <c r="AE4" s="177"/>
      <c r="AF4" s="177" t="str">
        <f aca="false">IF($BM$4="SELF STUDY", "", Data!B8)</f>
        <v>Mr. D. S. Gaikwad </v>
      </c>
      <c r="AG4" s="177"/>
      <c r="AH4" s="177"/>
      <c r="AI4" s="177"/>
      <c r="AJ4" s="177"/>
      <c r="AK4" s="177"/>
      <c r="AL4" s="177"/>
      <c r="AM4" s="177"/>
      <c r="AN4" s="177"/>
      <c r="AO4" s="177"/>
      <c r="AP4" s="177"/>
      <c r="AQ4" s="177"/>
      <c r="AR4" s="177"/>
      <c r="AS4" s="177"/>
      <c r="AW4" s="177" t="str">
        <f aca="false">IF($BM$4="THEORY", IF(Data!$B$9&lt;&gt;"", Data!B5, ""), Data!B5)</f>
        <v>IT</v>
      </c>
      <c r="AX4" s="177"/>
      <c r="AY4" s="177"/>
      <c r="AZ4" s="177"/>
      <c r="BA4" s="177"/>
      <c r="BB4" s="177" t="str">
        <f aca="false">IF($BM$4="THEORY", IF(Data!$B$9&lt;&gt;"", Data!B6, ""), Data!B6)</f>
        <v>SE</v>
      </c>
      <c r="BC4" s="177"/>
      <c r="BD4" s="177"/>
      <c r="BE4" s="177"/>
      <c r="BF4" s="177" t="n">
        <f aca="false">IF($BM$4="THEORY", IF(Data!$B$9&lt;&gt;"", Data!B7, ""), Data!B7)</f>
        <v>0</v>
      </c>
      <c r="BG4" s="177"/>
      <c r="BH4" s="177"/>
      <c r="BI4" s="177"/>
      <c r="BJ4" s="260" t="n">
        <v>70</v>
      </c>
      <c r="BK4" s="260"/>
      <c r="BL4" s="260"/>
      <c r="BM4" s="261" t="s">
        <v>208</v>
      </c>
      <c r="BN4" s="261"/>
    </row>
    <row r="5" customFormat="false" ht="12.75" hidden="false" customHeight="true" outlineLevel="0" collapsed="false">
      <c r="A5" s="256"/>
      <c r="B5" s="256"/>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6"/>
      <c r="AM5" s="256"/>
      <c r="AN5" s="256"/>
      <c r="AO5" s="256"/>
      <c r="AP5" s="256"/>
      <c r="AQ5" s="256"/>
      <c r="AR5" s="256"/>
      <c r="AS5" s="256"/>
      <c r="AT5" s="256"/>
      <c r="AU5" s="256"/>
      <c r="AV5" s="256"/>
      <c r="AW5" s="256"/>
      <c r="AX5" s="256"/>
      <c r="AY5" s="256"/>
      <c r="AZ5" s="256"/>
      <c r="BA5" s="256"/>
      <c r="BB5" s="256"/>
      <c r="BC5" s="256"/>
      <c r="BD5" s="256"/>
      <c r="BE5" s="256"/>
      <c r="BF5" s="256"/>
      <c r="BG5" s="256"/>
      <c r="BH5" s="256"/>
      <c r="BI5" s="256"/>
      <c r="BJ5" s="256"/>
      <c r="BK5" s="256"/>
      <c r="BL5" s="256"/>
      <c r="BM5" s="256"/>
      <c r="BN5" s="256"/>
    </row>
    <row r="6" customFormat="false" ht="15.75" hidden="false" customHeight="true" outlineLevel="0" collapsed="false">
      <c r="A6" s="262" t="s">
        <v>105</v>
      </c>
      <c r="B6" s="262" t="s">
        <v>209</v>
      </c>
      <c r="C6" s="262" t="s">
        <v>210</v>
      </c>
      <c r="D6" s="263"/>
      <c r="E6" s="263" t="n">
        <v>1</v>
      </c>
      <c r="F6" s="264" t="n">
        <v>2</v>
      </c>
      <c r="G6" s="264" t="n">
        <v>3</v>
      </c>
      <c r="H6" s="264" t="n">
        <v>4</v>
      </c>
      <c r="I6" s="264" t="n">
        <v>5</v>
      </c>
      <c r="J6" s="264" t="n">
        <v>6</v>
      </c>
      <c r="K6" s="264" t="n">
        <v>7</v>
      </c>
      <c r="L6" s="264" t="n">
        <v>8</v>
      </c>
      <c r="M6" s="264" t="n">
        <v>9</v>
      </c>
      <c r="N6" s="264" t="n">
        <v>10</v>
      </c>
      <c r="O6" s="264" t="n">
        <v>11</v>
      </c>
      <c r="P6" s="264" t="n">
        <v>12</v>
      </c>
      <c r="Q6" s="264" t="n">
        <v>13</v>
      </c>
      <c r="R6" s="264" t="n">
        <v>14</v>
      </c>
      <c r="S6" s="264" t="n">
        <v>15</v>
      </c>
      <c r="T6" s="264" t="n">
        <v>16</v>
      </c>
      <c r="U6" s="264" t="n">
        <v>17</v>
      </c>
      <c r="V6" s="264" t="n">
        <v>18</v>
      </c>
      <c r="W6" s="264" t="n">
        <v>19</v>
      </c>
      <c r="X6" s="264" t="n">
        <v>20</v>
      </c>
      <c r="Y6" s="264" t="n">
        <v>21</v>
      </c>
      <c r="Z6" s="264" t="n">
        <v>22</v>
      </c>
      <c r="AA6" s="264" t="n">
        <v>23</v>
      </c>
      <c r="AB6" s="264" t="n">
        <v>24</v>
      </c>
      <c r="AC6" s="264" t="n">
        <v>25</v>
      </c>
      <c r="AD6" s="264" t="n">
        <v>26</v>
      </c>
      <c r="AE6" s="264" t="n">
        <v>27</v>
      </c>
      <c r="AF6" s="264" t="n">
        <v>28</v>
      </c>
      <c r="AG6" s="264" t="n">
        <v>29</v>
      </c>
      <c r="AH6" s="264" t="n">
        <v>30</v>
      </c>
      <c r="AI6" s="264" t="n">
        <v>31</v>
      </c>
      <c r="AJ6" s="264" t="n">
        <v>32</v>
      </c>
      <c r="AK6" s="264" t="n">
        <v>33</v>
      </c>
      <c r="AL6" s="264" t="n">
        <v>34</v>
      </c>
      <c r="AM6" s="264" t="n">
        <v>35</v>
      </c>
      <c r="AN6" s="264" t="n">
        <v>36</v>
      </c>
      <c r="AO6" s="264" t="n">
        <v>37</v>
      </c>
      <c r="AP6" s="264" t="n">
        <v>38</v>
      </c>
      <c r="AQ6" s="264" t="n">
        <v>39</v>
      </c>
      <c r="AR6" s="264" t="n">
        <v>40</v>
      </c>
      <c r="AS6" s="264" t="n">
        <v>41</v>
      </c>
      <c r="AT6" s="264" t="n">
        <v>42</v>
      </c>
      <c r="AU6" s="264" t="n">
        <v>43</v>
      </c>
      <c r="AV6" s="264" t="n">
        <v>44</v>
      </c>
      <c r="AW6" s="264" t="n">
        <v>45</v>
      </c>
      <c r="AX6" s="264" t="n">
        <v>46</v>
      </c>
      <c r="AY6" s="264" t="n">
        <v>47</v>
      </c>
      <c r="AZ6" s="264" t="n">
        <v>48</v>
      </c>
      <c r="BA6" s="264" t="n">
        <v>49</v>
      </c>
      <c r="BB6" s="264" t="n">
        <v>50</v>
      </c>
      <c r="BC6" s="264" t="n">
        <v>51</v>
      </c>
      <c r="BD6" s="264" t="n">
        <v>52</v>
      </c>
      <c r="BE6" s="264" t="n">
        <v>53</v>
      </c>
      <c r="BF6" s="264" t="n">
        <v>54</v>
      </c>
      <c r="BG6" s="264" t="n">
        <v>55</v>
      </c>
      <c r="BH6" s="264" t="n">
        <v>56</v>
      </c>
      <c r="BI6" s="264" t="n">
        <v>57</v>
      </c>
      <c r="BJ6" s="264" t="n">
        <v>58</v>
      </c>
      <c r="BK6" s="264" t="n">
        <v>59</v>
      </c>
      <c r="BL6" s="264" t="n">
        <v>60</v>
      </c>
      <c r="BM6" s="264" t="s">
        <v>211</v>
      </c>
      <c r="BN6" s="264" t="s">
        <v>212</v>
      </c>
    </row>
    <row r="7" customFormat="false" ht="33" hidden="false" customHeight="true" outlineLevel="0" collapsed="false">
      <c r="A7" s="262"/>
      <c r="B7" s="262"/>
      <c r="C7" s="262"/>
      <c r="D7" s="263" t="s">
        <v>213</v>
      </c>
      <c r="E7" s="265"/>
      <c r="F7" s="266"/>
      <c r="G7" s="266"/>
      <c r="H7" s="266"/>
      <c r="I7" s="266"/>
      <c r="J7" s="266"/>
      <c r="K7" s="266"/>
      <c r="L7" s="266"/>
      <c r="M7" s="266"/>
      <c r="N7" s="266"/>
      <c r="O7" s="266"/>
      <c r="P7" s="266"/>
      <c r="Q7" s="266"/>
      <c r="R7" s="266"/>
      <c r="S7" s="266"/>
      <c r="T7" s="266"/>
      <c r="U7" s="266"/>
      <c r="V7" s="266"/>
      <c r="W7" s="266"/>
      <c r="X7" s="266"/>
      <c r="Y7" s="266"/>
      <c r="Z7" s="266"/>
      <c r="AA7" s="266"/>
      <c r="AB7" s="266"/>
      <c r="AC7" s="266"/>
      <c r="AD7" s="266"/>
      <c r="AE7" s="266"/>
      <c r="AF7" s="266"/>
      <c r="AG7" s="266"/>
      <c r="AH7" s="266"/>
      <c r="AI7" s="266"/>
      <c r="AJ7" s="266"/>
      <c r="AK7" s="266"/>
      <c r="AL7" s="266"/>
      <c r="AM7" s="266"/>
      <c r="AN7" s="266"/>
      <c r="AO7" s="266"/>
      <c r="AP7" s="266"/>
      <c r="AQ7" s="266"/>
      <c r="AR7" s="266"/>
      <c r="AS7" s="266"/>
      <c r="AT7" s="266"/>
      <c r="AU7" s="266"/>
      <c r="AV7" s="266"/>
      <c r="AW7" s="266"/>
      <c r="AX7" s="266"/>
      <c r="AY7" s="266"/>
      <c r="AZ7" s="266"/>
      <c r="BA7" s="266"/>
      <c r="BB7" s="266"/>
      <c r="BC7" s="266"/>
      <c r="BD7" s="266"/>
      <c r="BE7" s="266"/>
      <c r="BF7" s="266"/>
      <c r="BG7" s="266"/>
      <c r="BH7" s="266"/>
      <c r="BI7" s="266"/>
      <c r="BJ7" s="266"/>
      <c r="BK7" s="266"/>
      <c r="BL7" s="266"/>
      <c r="BM7" s="264"/>
      <c r="BN7" s="264"/>
    </row>
    <row r="8" customFormat="false" ht="33.75" hidden="false" customHeight="true" outlineLevel="0" collapsed="false">
      <c r="A8" s="262"/>
      <c r="B8" s="262"/>
      <c r="C8" s="262"/>
      <c r="D8" s="263" t="s">
        <v>214</v>
      </c>
      <c r="E8" s="267"/>
      <c r="F8" s="268"/>
      <c r="G8" s="268"/>
      <c r="H8" s="268"/>
      <c r="I8" s="268"/>
      <c r="J8" s="268"/>
      <c r="K8" s="268"/>
      <c r="L8" s="268"/>
      <c r="M8" s="268"/>
      <c r="N8" s="268"/>
      <c r="O8" s="268"/>
      <c r="P8" s="268"/>
      <c r="Q8" s="268"/>
      <c r="R8" s="268"/>
      <c r="S8" s="268"/>
      <c r="T8" s="268"/>
      <c r="U8" s="268"/>
      <c r="V8" s="268"/>
      <c r="W8" s="268"/>
      <c r="X8" s="268"/>
      <c r="Y8" s="268"/>
      <c r="Z8" s="268"/>
      <c r="AA8" s="268"/>
      <c r="AB8" s="268"/>
      <c r="AC8" s="268"/>
      <c r="AD8" s="268"/>
      <c r="AE8" s="268"/>
      <c r="AF8" s="268"/>
      <c r="AG8" s="268"/>
      <c r="AH8" s="268"/>
      <c r="AI8" s="268"/>
      <c r="AJ8" s="268"/>
      <c r="AK8" s="268"/>
      <c r="AL8" s="268"/>
      <c r="AM8" s="268"/>
      <c r="AN8" s="268"/>
      <c r="AO8" s="268"/>
      <c r="AP8" s="268"/>
      <c r="AQ8" s="268"/>
      <c r="AR8" s="268"/>
      <c r="AS8" s="268"/>
      <c r="AT8" s="268"/>
      <c r="AU8" s="268"/>
      <c r="AV8" s="268"/>
      <c r="AW8" s="268"/>
      <c r="AX8" s="268"/>
      <c r="AY8" s="268"/>
      <c r="AZ8" s="268"/>
      <c r="BA8" s="268"/>
      <c r="BB8" s="268"/>
      <c r="BC8" s="268"/>
      <c r="BD8" s="268"/>
      <c r="BE8" s="268"/>
      <c r="BF8" s="268"/>
      <c r="BG8" s="268"/>
      <c r="BH8" s="268"/>
      <c r="BI8" s="268"/>
      <c r="BJ8" s="268"/>
      <c r="BK8" s="268"/>
      <c r="BL8" s="268"/>
      <c r="BM8" s="264"/>
      <c r="BN8" s="264"/>
    </row>
    <row r="9" customFormat="false" ht="15.75" hidden="false" customHeight="false" outlineLevel="0" collapsed="false">
      <c r="A9" s="262"/>
      <c r="B9" s="262"/>
      <c r="C9" s="262"/>
      <c r="D9" s="263" t="s">
        <v>215</v>
      </c>
      <c r="E9" s="269"/>
      <c r="F9" s="270"/>
      <c r="G9" s="270"/>
      <c r="H9" s="270"/>
      <c r="I9" s="270"/>
      <c r="J9" s="270"/>
      <c r="K9" s="270"/>
      <c r="L9" s="270"/>
      <c r="M9" s="270"/>
      <c r="N9" s="270"/>
      <c r="O9" s="270"/>
      <c r="P9" s="270"/>
      <c r="Q9" s="270"/>
      <c r="R9" s="270"/>
      <c r="S9" s="270"/>
      <c r="T9" s="270"/>
      <c r="U9" s="270"/>
      <c r="V9" s="270"/>
      <c r="W9" s="262"/>
      <c r="X9" s="262"/>
      <c r="Y9" s="262"/>
      <c r="Z9" s="262"/>
      <c r="AA9" s="262"/>
      <c r="AB9" s="262"/>
      <c r="AC9" s="262"/>
      <c r="AD9" s="262"/>
      <c r="AE9" s="262"/>
      <c r="AF9" s="262"/>
      <c r="AG9" s="262"/>
      <c r="AH9" s="262"/>
      <c r="AI9" s="262"/>
      <c r="AJ9" s="262"/>
      <c r="AK9" s="262"/>
      <c r="AL9" s="262"/>
      <c r="AM9" s="262"/>
      <c r="AN9" s="262"/>
      <c r="AO9" s="262"/>
      <c r="AP9" s="262"/>
      <c r="AQ9" s="262"/>
      <c r="AR9" s="262"/>
      <c r="AS9" s="262"/>
      <c r="AT9" s="262"/>
      <c r="AU9" s="262"/>
      <c r="AV9" s="262"/>
      <c r="AW9" s="262"/>
      <c r="AX9" s="262"/>
      <c r="AY9" s="262"/>
      <c r="AZ9" s="262"/>
      <c r="BA9" s="262"/>
      <c r="BB9" s="262"/>
      <c r="BC9" s="262"/>
      <c r="BD9" s="262"/>
      <c r="BE9" s="262"/>
      <c r="BF9" s="262"/>
      <c r="BG9" s="262"/>
      <c r="BH9" s="262"/>
      <c r="BI9" s="262"/>
      <c r="BJ9" s="262"/>
      <c r="BK9" s="262"/>
      <c r="BL9" s="262"/>
      <c r="BM9" s="262" t="n">
        <f aca="false">SUM(E9:BL9)</f>
        <v>0</v>
      </c>
      <c r="BN9" s="262"/>
    </row>
    <row r="10" customFormat="false" ht="15" hidden="false" customHeight="true" outlineLevel="0" collapsed="false">
      <c r="A10" s="271" t="n">
        <v>1</v>
      </c>
      <c r="B10" s="272" t="s">
        <v>216</v>
      </c>
      <c r="C10" s="273" t="s">
        <v>217</v>
      </c>
      <c r="D10" s="274"/>
      <c r="E10" s="94"/>
      <c r="F10" s="94"/>
      <c r="G10" s="94"/>
      <c r="H10" s="94"/>
      <c r="I10" s="94"/>
      <c r="J10" s="94"/>
      <c r="K10" s="94"/>
      <c r="L10" s="94"/>
      <c r="M10" s="94"/>
      <c r="N10" s="94"/>
      <c r="O10" s="94"/>
      <c r="P10" s="94"/>
      <c r="Q10" s="94"/>
      <c r="R10" s="94"/>
      <c r="S10" s="94"/>
      <c r="T10" s="94"/>
      <c r="U10" s="94"/>
      <c r="V10" s="94"/>
      <c r="W10" s="94"/>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5"/>
      <c r="BN10" s="275"/>
    </row>
    <row r="11" customFormat="false" ht="15" hidden="false" customHeight="true" outlineLevel="0" collapsed="false">
      <c r="A11" s="271" t="n">
        <v>2</v>
      </c>
      <c r="B11" s="272" t="s">
        <v>218</v>
      </c>
      <c r="C11" s="273" t="s">
        <v>219</v>
      </c>
      <c r="D11" s="276"/>
      <c r="E11" s="94"/>
      <c r="F11" s="94"/>
      <c r="G11" s="94"/>
      <c r="H11" s="94"/>
      <c r="I11" s="94"/>
      <c r="J11" s="94"/>
      <c r="K11" s="94"/>
      <c r="L11" s="94"/>
      <c r="M11" s="94"/>
      <c r="N11" s="94"/>
      <c r="O11" s="94"/>
      <c r="P11" s="94"/>
      <c r="Q11" s="94"/>
      <c r="R11" s="94"/>
      <c r="S11" s="94"/>
      <c r="T11" s="94"/>
      <c r="U11" s="94"/>
      <c r="V11" s="94"/>
      <c r="W11" s="94"/>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5"/>
      <c r="BN11" s="277"/>
    </row>
    <row r="12" customFormat="false" ht="15" hidden="false" customHeight="true" outlineLevel="0" collapsed="false">
      <c r="A12" s="271" t="n">
        <v>3</v>
      </c>
      <c r="B12" s="272" t="s">
        <v>220</v>
      </c>
      <c r="C12" s="273" t="s">
        <v>221</v>
      </c>
      <c r="D12" s="276"/>
      <c r="E12" s="94"/>
      <c r="F12" s="94"/>
      <c r="G12" s="94"/>
      <c r="H12" s="94"/>
      <c r="I12" s="94"/>
      <c r="J12" s="94"/>
      <c r="K12" s="94"/>
      <c r="L12" s="94"/>
      <c r="M12" s="94"/>
      <c r="N12" s="94"/>
      <c r="O12" s="94"/>
      <c r="P12" s="94"/>
      <c r="Q12" s="94"/>
      <c r="R12" s="94"/>
      <c r="S12" s="94"/>
      <c r="T12" s="94"/>
      <c r="U12" s="94"/>
      <c r="V12" s="94"/>
      <c r="W12" s="94"/>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5"/>
      <c r="BN12" s="277"/>
    </row>
    <row r="13" customFormat="false" ht="15" hidden="false" customHeight="true" outlineLevel="0" collapsed="false">
      <c r="A13" s="271" t="n">
        <v>4</v>
      </c>
      <c r="B13" s="272" t="s">
        <v>222</v>
      </c>
      <c r="C13" s="273" t="s">
        <v>223</v>
      </c>
      <c r="D13" s="276"/>
      <c r="E13" s="94"/>
      <c r="F13" s="94"/>
      <c r="G13" s="94"/>
      <c r="H13" s="94"/>
      <c r="I13" s="94"/>
      <c r="J13" s="94"/>
      <c r="K13" s="94"/>
      <c r="L13" s="94"/>
      <c r="M13" s="94"/>
      <c r="N13" s="94"/>
      <c r="O13" s="94"/>
      <c r="P13" s="94"/>
      <c r="Q13" s="94"/>
      <c r="R13" s="94"/>
      <c r="S13" s="94"/>
      <c r="T13" s="94"/>
      <c r="U13" s="94"/>
      <c r="V13" s="94"/>
      <c r="W13" s="94"/>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5"/>
      <c r="BN13" s="277"/>
    </row>
    <row r="14" customFormat="false" ht="15" hidden="false" customHeight="true" outlineLevel="0" collapsed="false">
      <c r="A14" s="271" t="n">
        <v>5</v>
      </c>
      <c r="B14" s="272" t="s">
        <v>224</v>
      </c>
      <c r="C14" s="273" t="s">
        <v>225</v>
      </c>
      <c r="D14" s="276"/>
      <c r="E14" s="94"/>
      <c r="F14" s="94"/>
      <c r="G14" s="94"/>
      <c r="H14" s="94"/>
      <c r="I14" s="94"/>
      <c r="J14" s="94"/>
      <c r="K14" s="94"/>
      <c r="L14" s="94"/>
      <c r="M14" s="94"/>
      <c r="N14" s="94"/>
      <c r="O14" s="94"/>
      <c r="P14" s="94"/>
      <c r="Q14" s="94"/>
      <c r="R14" s="94"/>
      <c r="S14" s="94"/>
      <c r="T14" s="94"/>
      <c r="U14" s="94"/>
      <c r="V14" s="94"/>
      <c r="W14" s="94"/>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5"/>
      <c r="BN14" s="277"/>
    </row>
    <row r="15" customFormat="false" ht="15" hidden="false" customHeight="true" outlineLevel="0" collapsed="false">
      <c r="A15" s="271" t="n">
        <v>6</v>
      </c>
      <c r="B15" s="272" t="s">
        <v>226</v>
      </c>
      <c r="C15" s="273" t="s">
        <v>227</v>
      </c>
      <c r="D15" s="276"/>
      <c r="E15" s="94"/>
      <c r="F15" s="94"/>
      <c r="G15" s="94"/>
      <c r="H15" s="94"/>
      <c r="I15" s="94"/>
      <c r="J15" s="94"/>
      <c r="K15" s="94"/>
      <c r="L15" s="94"/>
      <c r="M15" s="94"/>
      <c r="N15" s="94"/>
      <c r="O15" s="94"/>
      <c r="P15" s="94"/>
      <c r="Q15" s="94"/>
      <c r="R15" s="94"/>
      <c r="S15" s="94"/>
      <c r="T15" s="94"/>
      <c r="U15" s="94"/>
      <c r="V15" s="94"/>
      <c r="W15" s="94"/>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5"/>
      <c r="BN15" s="277"/>
    </row>
    <row r="16" customFormat="false" ht="15" hidden="false" customHeight="true" outlineLevel="0" collapsed="false">
      <c r="A16" s="271" t="n">
        <v>7</v>
      </c>
      <c r="B16" s="272" t="s">
        <v>228</v>
      </c>
      <c r="C16" s="273" t="s">
        <v>229</v>
      </c>
      <c r="D16" s="276"/>
      <c r="E16" s="94"/>
      <c r="F16" s="94"/>
      <c r="G16" s="94"/>
      <c r="H16" s="94"/>
      <c r="I16" s="94"/>
      <c r="J16" s="94"/>
      <c r="K16" s="94"/>
      <c r="L16" s="94"/>
      <c r="M16" s="94"/>
      <c r="N16" s="94"/>
      <c r="O16" s="94"/>
      <c r="P16" s="94"/>
      <c r="Q16" s="94"/>
      <c r="R16" s="94"/>
      <c r="S16" s="94"/>
      <c r="T16" s="94"/>
      <c r="U16" s="94"/>
      <c r="V16" s="94"/>
      <c r="W16" s="94"/>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5"/>
      <c r="BN16" s="277"/>
    </row>
    <row r="17" customFormat="false" ht="15" hidden="false" customHeight="true" outlineLevel="0" collapsed="false">
      <c r="A17" s="271" t="n">
        <v>8</v>
      </c>
      <c r="B17" s="272" t="s">
        <v>230</v>
      </c>
      <c r="C17" s="273" t="s">
        <v>231</v>
      </c>
      <c r="D17" s="276"/>
      <c r="E17" s="94"/>
      <c r="F17" s="94"/>
      <c r="G17" s="94"/>
      <c r="H17" s="94"/>
      <c r="I17" s="94"/>
      <c r="J17" s="94"/>
      <c r="K17" s="94"/>
      <c r="L17" s="94"/>
      <c r="M17" s="94"/>
      <c r="N17" s="94"/>
      <c r="O17" s="94"/>
      <c r="P17" s="94"/>
      <c r="Q17" s="94"/>
      <c r="R17" s="94"/>
      <c r="S17" s="94"/>
      <c r="T17" s="94"/>
      <c r="U17" s="94"/>
      <c r="V17" s="94"/>
      <c r="W17" s="94"/>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5"/>
      <c r="BN17" s="277"/>
    </row>
    <row r="18" customFormat="false" ht="15" hidden="false" customHeight="true" outlineLevel="0" collapsed="false">
      <c r="A18" s="271" t="n">
        <v>9</v>
      </c>
      <c r="B18" s="272" t="s">
        <v>232</v>
      </c>
      <c r="C18" s="273" t="s">
        <v>233</v>
      </c>
      <c r="D18" s="276"/>
      <c r="E18" s="94"/>
      <c r="F18" s="94"/>
      <c r="G18" s="94"/>
      <c r="H18" s="94"/>
      <c r="I18" s="94"/>
      <c r="J18" s="94"/>
      <c r="K18" s="94"/>
      <c r="L18" s="94"/>
      <c r="M18" s="94"/>
      <c r="N18" s="94"/>
      <c r="O18" s="94"/>
      <c r="P18" s="94"/>
      <c r="Q18" s="94"/>
      <c r="R18" s="94"/>
      <c r="S18" s="94"/>
      <c r="T18" s="94"/>
      <c r="U18" s="94"/>
      <c r="V18" s="94"/>
      <c r="W18" s="94"/>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5"/>
      <c r="BN18" s="277"/>
    </row>
    <row r="19" customFormat="false" ht="15" hidden="false" customHeight="true" outlineLevel="0" collapsed="false">
      <c r="A19" s="271" t="n">
        <v>10</v>
      </c>
      <c r="B19" s="272" t="s">
        <v>234</v>
      </c>
      <c r="C19" s="273" t="s">
        <v>235</v>
      </c>
      <c r="D19" s="276"/>
      <c r="E19" s="94"/>
      <c r="F19" s="94"/>
      <c r="G19" s="94"/>
      <c r="H19" s="94"/>
      <c r="I19" s="94"/>
      <c r="J19" s="94"/>
      <c r="K19" s="94"/>
      <c r="L19" s="94"/>
      <c r="M19" s="94"/>
      <c r="N19" s="94"/>
      <c r="O19" s="94"/>
      <c r="P19" s="94"/>
      <c r="Q19" s="94"/>
      <c r="R19" s="94"/>
      <c r="S19" s="94"/>
      <c r="T19" s="94"/>
      <c r="U19" s="94"/>
      <c r="V19" s="94"/>
      <c r="W19" s="94"/>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5"/>
      <c r="BN19" s="277"/>
    </row>
    <row r="20" customFormat="false" ht="15" hidden="false" customHeight="true" outlineLevel="0" collapsed="false">
      <c r="A20" s="271" t="n">
        <v>11</v>
      </c>
      <c r="B20" s="272" t="s">
        <v>236</v>
      </c>
      <c r="C20" s="273" t="s">
        <v>237</v>
      </c>
      <c r="D20" s="278"/>
      <c r="E20" s="94"/>
      <c r="F20" s="94"/>
      <c r="G20" s="94"/>
      <c r="H20" s="94"/>
      <c r="I20" s="94"/>
      <c r="J20" s="94"/>
      <c r="K20" s="94"/>
      <c r="L20" s="94"/>
      <c r="M20" s="94"/>
      <c r="N20" s="94"/>
      <c r="O20" s="94"/>
      <c r="P20" s="94"/>
      <c r="Q20" s="94"/>
      <c r="R20" s="94"/>
      <c r="S20" s="94"/>
      <c r="T20" s="94"/>
      <c r="U20" s="94"/>
      <c r="V20" s="94"/>
      <c r="W20" s="94"/>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5"/>
      <c r="BN20" s="277"/>
    </row>
    <row r="21" customFormat="false" ht="15" hidden="false" customHeight="true" outlineLevel="0" collapsed="false">
      <c r="A21" s="271" t="n">
        <v>12</v>
      </c>
      <c r="B21" s="272" t="s">
        <v>238</v>
      </c>
      <c r="C21" s="273" t="s">
        <v>239</v>
      </c>
      <c r="D21" s="278"/>
      <c r="E21" s="94"/>
      <c r="F21" s="94"/>
      <c r="G21" s="94"/>
      <c r="H21" s="94"/>
      <c r="I21" s="94"/>
      <c r="J21" s="94"/>
      <c r="K21" s="94"/>
      <c r="L21" s="94"/>
      <c r="M21" s="94"/>
      <c r="N21" s="94"/>
      <c r="O21" s="94"/>
      <c r="P21" s="94"/>
      <c r="Q21" s="94"/>
      <c r="R21" s="94"/>
      <c r="S21" s="94"/>
      <c r="T21" s="94"/>
      <c r="U21" s="94"/>
      <c r="V21" s="94"/>
      <c r="W21" s="94"/>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5"/>
      <c r="BN21" s="277"/>
    </row>
    <row r="22" customFormat="false" ht="15" hidden="false" customHeight="true" outlineLevel="0" collapsed="false">
      <c r="A22" s="271" t="n">
        <v>13</v>
      </c>
      <c r="B22" s="272" t="s">
        <v>240</v>
      </c>
      <c r="C22" s="273" t="s">
        <v>241</v>
      </c>
      <c r="D22" s="278"/>
      <c r="E22" s="94"/>
      <c r="F22" s="94"/>
      <c r="G22" s="94"/>
      <c r="H22" s="94"/>
      <c r="I22" s="94"/>
      <c r="J22" s="94"/>
      <c r="K22" s="94"/>
      <c r="L22" s="94"/>
      <c r="M22" s="94"/>
      <c r="N22" s="94"/>
      <c r="O22" s="94"/>
      <c r="P22" s="94"/>
      <c r="Q22" s="94"/>
      <c r="R22" s="94"/>
      <c r="S22" s="94"/>
      <c r="T22" s="94"/>
      <c r="U22" s="94"/>
      <c r="V22" s="94"/>
      <c r="W22" s="94"/>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5"/>
      <c r="BN22" s="277"/>
    </row>
    <row r="23" customFormat="false" ht="15" hidden="false" customHeight="true" outlineLevel="0" collapsed="false">
      <c r="A23" s="271" t="n">
        <v>14</v>
      </c>
      <c r="B23" s="272" t="s">
        <v>242</v>
      </c>
      <c r="C23" s="273" t="s">
        <v>243</v>
      </c>
      <c r="D23" s="278"/>
      <c r="E23" s="94"/>
      <c r="F23" s="94"/>
      <c r="G23" s="94"/>
      <c r="H23" s="94"/>
      <c r="I23" s="94"/>
      <c r="J23" s="94"/>
      <c r="K23" s="94"/>
      <c r="L23" s="94"/>
      <c r="M23" s="94"/>
      <c r="N23" s="94"/>
      <c r="O23" s="94"/>
      <c r="P23" s="94"/>
      <c r="Q23" s="94"/>
      <c r="R23" s="94"/>
      <c r="S23" s="94"/>
      <c r="T23" s="94"/>
      <c r="U23" s="94"/>
      <c r="V23" s="94"/>
      <c r="W23" s="94"/>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5"/>
      <c r="BN23" s="277"/>
    </row>
    <row r="24" customFormat="false" ht="15" hidden="false" customHeight="true" outlineLevel="0" collapsed="false">
      <c r="A24" s="271" t="n">
        <v>15</v>
      </c>
      <c r="B24" s="272" t="s">
        <v>244</v>
      </c>
      <c r="C24" s="273" t="s">
        <v>245</v>
      </c>
      <c r="D24" s="278"/>
      <c r="E24" s="94"/>
      <c r="F24" s="94"/>
      <c r="G24" s="94"/>
      <c r="H24" s="94"/>
      <c r="I24" s="94"/>
      <c r="J24" s="94"/>
      <c r="K24" s="94"/>
      <c r="L24" s="94"/>
      <c r="M24" s="94"/>
      <c r="N24" s="94"/>
      <c r="O24" s="94"/>
      <c r="P24" s="94"/>
      <c r="Q24" s="94"/>
      <c r="R24" s="94"/>
      <c r="S24" s="94"/>
      <c r="T24" s="94"/>
      <c r="U24" s="94"/>
      <c r="V24" s="94"/>
      <c r="W24" s="94"/>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5"/>
      <c r="BN24" s="277"/>
    </row>
    <row r="25" customFormat="false" ht="15" hidden="false" customHeight="true" outlineLevel="0" collapsed="false">
      <c r="A25" s="271" t="n">
        <v>16</v>
      </c>
      <c r="B25" s="272" t="s">
        <v>246</v>
      </c>
      <c r="C25" s="273" t="s">
        <v>247</v>
      </c>
      <c r="D25" s="278"/>
      <c r="E25" s="94"/>
      <c r="F25" s="94"/>
      <c r="G25" s="94"/>
      <c r="H25" s="94"/>
      <c r="I25" s="94"/>
      <c r="J25" s="94"/>
      <c r="K25" s="94"/>
      <c r="L25" s="94"/>
      <c r="M25" s="94"/>
      <c r="N25" s="94"/>
      <c r="O25" s="94"/>
      <c r="P25" s="94"/>
      <c r="Q25" s="94"/>
      <c r="R25" s="94"/>
      <c r="S25" s="94"/>
      <c r="T25" s="94"/>
      <c r="U25" s="94"/>
      <c r="V25" s="94"/>
      <c r="W25" s="94"/>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5"/>
      <c r="BN25" s="277"/>
    </row>
    <row r="26" customFormat="false" ht="15" hidden="false" customHeight="true" outlineLevel="0" collapsed="false">
      <c r="A26" s="271" t="n">
        <v>17</v>
      </c>
      <c r="B26" s="272" t="s">
        <v>248</v>
      </c>
      <c r="C26" s="273" t="s">
        <v>249</v>
      </c>
      <c r="D26" s="278"/>
      <c r="E26" s="94"/>
      <c r="F26" s="94"/>
      <c r="G26" s="94"/>
      <c r="H26" s="94"/>
      <c r="I26" s="94"/>
      <c r="J26" s="94"/>
      <c r="K26" s="94"/>
      <c r="L26" s="94"/>
      <c r="M26" s="94"/>
      <c r="N26" s="94"/>
      <c r="O26" s="94"/>
      <c r="P26" s="94"/>
      <c r="Q26" s="94"/>
      <c r="R26" s="94"/>
      <c r="S26" s="94"/>
      <c r="T26" s="94"/>
      <c r="U26" s="94"/>
      <c r="V26" s="94"/>
      <c r="W26" s="94"/>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5"/>
      <c r="BN26" s="277"/>
    </row>
    <row r="27" customFormat="false" ht="15" hidden="false" customHeight="true" outlineLevel="0" collapsed="false">
      <c r="A27" s="271" t="n">
        <v>18</v>
      </c>
      <c r="B27" s="272" t="s">
        <v>250</v>
      </c>
      <c r="C27" s="273" t="s">
        <v>251</v>
      </c>
      <c r="D27" s="278"/>
      <c r="E27" s="94"/>
      <c r="F27" s="94"/>
      <c r="G27" s="94"/>
      <c r="H27" s="94"/>
      <c r="I27" s="94"/>
      <c r="J27" s="94"/>
      <c r="K27" s="94"/>
      <c r="L27" s="94"/>
      <c r="M27" s="94"/>
      <c r="N27" s="94"/>
      <c r="O27" s="94"/>
      <c r="P27" s="94"/>
      <c r="Q27" s="94"/>
      <c r="R27" s="94"/>
      <c r="S27" s="94"/>
      <c r="T27" s="94"/>
      <c r="U27" s="94"/>
      <c r="V27" s="94"/>
      <c r="W27" s="94"/>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5"/>
      <c r="BN27" s="277"/>
    </row>
    <row r="28" customFormat="false" ht="15" hidden="false" customHeight="true" outlineLevel="0" collapsed="false">
      <c r="A28" s="271" t="n">
        <v>19</v>
      </c>
      <c r="B28" s="272" t="s">
        <v>252</v>
      </c>
      <c r="C28" s="273" t="s">
        <v>253</v>
      </c>
      <c r="D28" s="278"/>
      <c r="E28" s="94"/>
      <c r="F28" s="94"/>
      <c r="G28" s="94"/>
      <c r="H28" s="94"/>
      <c r="I28" s="94"/>
      <c r="J28" s="94"/>
      <c r="K28" s="94"/>
      <c r="L28" s="94"/>
      <c r="M28" s="94"/>
      <c r="N28" s="94"/>
      <c r="O28" s="94"/>
      <c r="P28" s="94"/>
      <c r="Q28" s="94"/>
      <c r="R28" s="94"/>
      <c r="S28" s="94"/>
      <c r="T28" s="94"/>
      <c r="U28" s="94"/>
      <c r="V28" s="94"/>
      <c r="W28" s="94"/>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5"/>
      <c r="BN28" s="277"/>
    </row>
    <row r="29" customFormat="false" ht="15" hidden="false" customHeight="true" outlineLevel="0" collapsed="false">
      <c r="A29" s="271" t="n">
        <v>20</v>
      </c>
      <c r="B29" s="272" t="s">
        <v>254</v>
      </c>
      <c r="C29" s="273" t="s">
        <v>255</v>
      </c>
      <c r="D29" s="276"/>
      <c r="E29" s="94"/>
      <c r="F29" s="94"/>
      <c r="G29" s="94"/>
      <c r="H29" s="94"/>
      <c r="I29" s="94"/>
      <c r="J29" s="94"/>
      <c r="K29" s="94"/>
      <c r="L29" s="94"/>
      <c r="M29" s="94"/>
      <c r="N29" s="94"/>
      <c r="O29" s="94"/>
      <c r="P29" s="94"/>
      <c r="Q29" s="94"/>
      <c r="R29" s="94"/>
      <c r="S29" s="94"/>
      <c r="T29" s="94"/>
      <c r="U29" s="94"/>
      <c r="V29" s="94"/>
      <c r="W29" s="94"/>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5"/>
      <c r="BN29" s="277"/>
    </row>
    <row r="30" customFormat="false" ht="15" hidden="false" customHeight="true" outlineLevel="0" collapsed="false">
      <c r="A30" s="271" t="n">
        <v>21</v>
      </c>
      <c r="B30" s="272" t="s">
        <v>256</v>
      </c>
      <c r="C30" s="273" t="s">
        <v>257</v>
      </c>
      <c r="D30" s="276"/>
      <c r="E30" s="94"/>
      <c r="F30" s="94"/>
      <c r="G30" s="94"/>
      <c r="H30" s="94"/>
      <c r="I30" s="94"/>
      <c r="J30" s="94"/>
      <c r="K30" s="94"/>
      <c r="L30" s="94"/>
      <c r="M30" s="94"/>
      <c r="N30" s="94"/>
      <c r="O30" s="94"/>
      <c r="P30" s="94"/>
      <c r="Q30" s="94"/>
      <c r="R30" s="94"/>
      <c r="S30" s="94"/>
      <c r="T30" s="94"/>
      <c r="U30" s="94"/>
      <c r="V30" s="94"/>
      <c r="W30" s="94"/>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5"/>
      <c r="BN30" s="277"/>
    </row>
    <row r="31" customFormat="false" ht="15" hidden="false" customHeight="true" outlineLevel="0" collapsed="false">
      <c r="A31" s="271" t="n">
        <v>22</v>
      </c>
      <c r="B31" s="272" t="s">
        <v>258</v>
      </c>
      <c r="C31" s="273" t="s">
        <v>259</v>
      </c>
      <c r="D31" s="276"/>
      <c r="E31" s="94"/>
      <c r="F31" s="94"/>
      <c r="G31" s="94"/>
      <c r="H31" s="94"/>
      <c r="I31" s="94"/>
      <c r="J31" s="94"/>
      <c r="K31" s="94"/>
      <c r="L31" s="94"/>
      <c r="M31" s="94"/>
      <c r="N31" s="94"/>
      <c r="O31" s="94"/>
      <c r="P31" s="94"/>
      <c r="Q31" s="94"/>
      <c r="R31" s="94"/>
      <c r="S31" s="94"/>
      <c r="T31" s="94"/>
      <c r="U31" s="94"/>
      <c r="V31" s="94"/>
      <c r="W31" s="94"/>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5"/>
      <c r="BN31" s="277"/>
    </row>
    <row r="32" customFormat="false" ht="15" hidden="false" customHeight="true" outlineLevel="0" collapsed="false">
      <c r="A32" s="271" t="n">
        <v>23</v>
      </c>
      <c r="B32" s="272" t="s">
        <v>260</v>
      </c>
      <c r="C32" s="273" t="s">
        <v>261</v>
      </c>
      <c r="D32" s="276"/>
      <c r="E32" s="94"/>
      <c r="F32" s="94"/>
      <c r="G32" s="94"/>
      <c r="H32" s="94"/>
      <c r="I32" s="94"/>
      <c r="J32" s="94"/>
      <c r="K32" s="94"/>
      <c r="L32" s="94"/>
      <c r="M32" s="94"/>
      <c r="N32" s="94"/>
      <c r="O32" s="94"/>
      <c r="P32" s="94"/>
      <c r="Q32" s="94"/>
      <c r="R32" s="94"/>
      <c r="S32" s="94"/>
      <c r="T32" s="94"/>
      <c r="U32" s="94"/>
      <c r="V32" s="94"/>
      <c r="W32" s="94"/>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5"/>
      <c r="BN32" s="277"/>
    </row>
    <row r="33" customFormat="false" ht="15" hidden="false" customHeight="true" outlineLevel="0" collapsed="false">
      <c r="A33" s="271" t="n">
        <v>24</v>
      </c>
      <c r="B33" s="272" t="s">
        <v>262</v>
      </c>
      <c r="C33" s="273" t="s">
        <v>263</v>
      </c>
      <c r="D33" s="276"/>
      <c r="E33" s="94"/>
      <c r="F33" s="94"/>
      <c r="G33" s="94"/>
      <c r="H33" s="94"/>
      <c r="I33" s="94"/>
      <c r="J33" s="94"/>
      <c r="K33" s="94"/>
      <c r="L33" s="94"/>
      <c r="M33" s="94"/>
      <c r="N33" s="94"/>
      <c r="O33" s="94"/>
      <c r="P33" s="94"/>
      <c r="Q33" s="94"/>
      <c r="R33" s="94"/>
      <c r="S33" s="94"/>
      <c r="T33" s="94"/>
      <c r="U33" s="94"/>
      <c r="V33" s="94"/>
      <c r="W33" s="94"/>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5"/>
      <c r="BN33" s="277"/>
    </row>
    <row r="34" customFormat="false" ht="15" hidden="false" customHeight="true" outlineLevel="0" collapsed="false">
      <c r="A34" s="271" t="n">
        <v>25</v>
      </c>
      <c r="B34" s="272" t="s">
        <v>264</v>
      </c>
      <c r="C34" s="273" t="s">
        <v>265</v>
      </c>
      <c r="D34" s="276"/>
      <c r="E34" s="94"/>
      <c r="F34" s="94"/>
      <c r="G34" s="94"/>
      <c r="H34" s="94"/>
      <c r="I34" s="94"/>
      <c r="J34" s="94"/>
      <c r="K34" s="94"/>
      <c r="L34" s="94"/>
      <c r="M34" s="94"/>
      <c r="N34" s="94"/>
      <c r="O34" s="94"/>
      <c r="P34" s="94"/>
      <c r="Q34" s="94"/>
      <c r="R34" s="94"/>
      <c r="S34" s="94"/>
      <c r="T34" s="94"/>
      <c r="U34" s="94"/>
      <c r="V34" s="94"/>
      <c r="W34" s="94"/>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5"/>
      <c r="BN34" s="277"/>
    </row>
    <row r="35" customFormat="false" ht="15" hidden="false" customHeight="true" outlineLevel="0" collapsed="false">
      <c r="A35" s="271" t="n">
        <v>26</v>
      </c>
      <c r="B35" s="272" t="s">
        <v>266</v>
      </c>
      <c r="C35" s="273" t="s">
        <v>267</v>
      </c>
      <c r="D35" s="276"/>
      <c r="E35" s="94"/>
      <c r="F35" s="94"/>
      <c r="G35" s="94"/>
      <c r="H35" s="94"/>
      <c r="I35" s="94"/>
      <c r="J35" s="94"/>
      <c r="K35" s="94"/>
      <c r="L35" s="94"/>
      <c r="M35" s="94"/>
      <c r="N35" s="94"/>
      <c r="O35" s="94"/>
      <c r="P35" s="94"/>
      <c r="Q35" s="94"/>
      <c r="R35" s="94"/>
      <c r="S35" s="94"/>
      <c r="T35" s="94"/>
      <c r="U35" s="94"/>
      <c r="V35" s="94"/>
      <c r="W35" s="94"/>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5"/>
      <c r="BN35" s="277"/>
    </row>
    <row r="36" customFormat="false" ht="15" hidden="false" customHeight="true" outlineLevel="0" collapsed="false">
      <c r="A36" s="271" t="n">
        <v>27</v>
      </c>
      <c r="B36" s="272" t="s">
        <v>268</v>
      </c>
      <c r="C36" s="273" t="s">
        <v>269</v>
      </c>
      <c r="D36" s="276"/>
      <c r="E36" s="94"/>
      <c r="F36" s="94"/>
      <c r="G36" s="94"/>
      <c r="H36" s="94"/>
      <c r="I36" s="94"/>
      <c r="J36" s="94"/>
      <c r="K36" s="94"/>
      <c r="L36" s="94"/>
      <c r="M36" s="94"/>
      <c r="N36" s="94"/>
      <c r="O36" s="94"/>
      <c r="P36" s="94"/>
      <c r="Q36" s="94"/>
      <c r="R36" s="94"/>
      <c r="S36" s="94"/>
      <c r="T36" s="94"/>
      <c r="U36" s="94"/>
      <c r="V36" s="94"/>
      <c r="W36" s="94"/>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5"/>
      <c r="BN36" s="277"/>
    </row>
    <row r="37" customFormat="false" ht="15" hidden="false" customHeight="true" outlineLevel="0" collapsed="false">
      <c r="A37" s="271" t="n">
        <v>28</v>
      </c>
      <c r="B37" s="272" t="s">
        <v>270</v>
      </c>
      <c r="C37" s="273" t="s">
        <v>271</v>
      </c>
      <c r="D37" s="276"/>
      <c r="E37" s="94"/>
      <c r="F37" s="94"/>
      <c r="G37" s="94"/>
      <c r="H37" s="94"/>
      <c r="I37" s="94"/>
      <c r="J37" s="94"/>
      <c r="K37" s="94"/>
      <c r="L37" s="94"/>
      <c r="M37" s="94"/>
      <c r="N37" s="94"/>
      <c r="O37" s="94"/>
      <c r="P37" s="94"/>
      <c r="Q37" s="94"/>
      <c r="R37" s="94"/>
      <c r="S37" s="94"/>
      <c r="T37" s="94"/>
      <c r="U37" s="94"/>
      <c r="V37" s="94"/>
      <c r="W37" s="94"/>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5"/>
      <c r="BN37" s="277"/>
    </row>
    <row r="38" customFormat="false" ht="15" hidden="false" customHeight="true" outlineLevel="0" collapsed="false">
      <c r="A38" s="271" t="n">
        <v>29</v>
      </c>
      <c r="B38" s="272" t="s">
        <v>272</v>
      </c>
      <c r="C38" s="273" t="s">
        <v>273</v>
      </c>
      <c r="D38" s="276"/>
      <c r="E38" s="94"/>
      <c r="F38" s="94"/>
      <c r="G38" s="94"/>
      <c r="H38" s="94"/>
      <c r="I38" s="94"/>
      <c r="J38" s="94"/>
      <c r="K38" s="94"/>
      <c r="L38" s="94"/>
      <c r="M38" s="94"/>
      <c r="N38" s="94"/>
      <c r="O38" s="94"/>
      <c r="P38" s="94"/>
      <c r="Q38" s="94"/>
      <c r="R38" s="94"/>
      <c r="S38" s="94"/>
      <c r="T38" s="94"/>
      <c r="U38" s="94"/>
      <c r="V38" s="94"/>
      <c r="W38" s="94"/>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5"/>
      <c r="BN38" s="277"/>
    </row>
    <row r="39" customFormat="false" ht="15" hidden="false" customHeight="true" outlineLevel="0" collapsed="false">
      <c r="A39" s="271" t="n">
        <v>30</v>
      </c>
      <c r="B39" s="272" t="s">
        <v>274</v>
      </c>
      <c r="C39" s="273" t="s">
        <v>275</v>
      </c>
      <c r="D39" s="276"/>
      <c r="E39" s="94"/>
      <c r="F39" s="94"/>
      <c r="G39" s="94"/>
      <c r="H39" s="94"/>
      <c r="I39" s="94"/>
      <c r="J39" s="94"/>
      <c r="K39" s="94"/>
      <c r="L39" s="94"/>
      <c r="M39" s="94"/>
      <c r="N39" s="94"/>
      <c r="O39" s="94"/>
      <c r="P39" s="94"/>
      <c r="Q39" s="94"/>
      <c r="R39" s="94"/>
      <c r="S39" s="94"/>
      <c r="T39" s="94"/>
      <c r="U39" s="94"/>
      <c r="V39" s="94"/>
      <c r="W39" s="94"/>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5"/>
      <c r="BN39" s="277"/>
    </row>
    <row r="40" customFormat="false" ht="15" hidden="false" customHeight="true" outlineLevel="0" collapsed="false">
      <c r="A40" s="271" t="n">
        <v>31</v>
      </c>
      <c r="B40" s="272" t="s">
        <v>276</v>
      </c>
      <c r="C40" s="273" t="s">
        <v>277</v>
      </c>
      <c r="D40" s="276"/>
      <c r="E40" s="94"/>
      <c r="F40" s="94"/>
      <c r="G40" s="94"/>
      <c r="H40" s="94"/>
      <c r="I40" s="94"/>
      <c r="J40" s="94"/>
      <c r="K40" s="94"/>
      <c r="L40" s="94"/>
      <c r="M40" s="94"/>
      <c r="N40" s="94"/>
      <c r="O40" s="94"/>
      <c r="P40" s="94"/>
      <c r="Q40" s="94"/>
      <c r="R40" s="94"/>
      <c r="S40" s="94"/>
      <c r="T40" s="94"/>
      <c r="U40" s="94"/>
      <c r="V40" s="94"/>
      <c r="W40" s="94"/>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5"/>
      <c r="BN40" s="277"/>
    </row>
    <row r="41" customFormat="false" ht="15" hidden="false" customHeight="true" outlineLevel="0" collapsed="false">
      <c r="A41" s="271" t="n">
        <v>32</v>
      </c>
      <c r="B41" s="272" t="s">
        <v>278</v>
      </c>
      <c r="C41" s="273" t="s">
        <v>279</v>
      </c>
      <c r="D41" s="276"/>
      <c r="E41" s="94"/>
      <c r="F41" s="94"/>
      <c r="G41" s="94"/>
      <c r="H41" s="94"/>
      <c r="I41" s="94"/>
      <c r="J41" s="94"/>
      <c r="K41" s="94"/>
      <c r="L41" s="94"/>
      <c r="M41" s="94"/>
      <c r="N41" s="94"/>
      <c r="O41" s="94"/>
      <c r="P41" s="94"/>
      <c r="Q41" s="94"/>
      <c r="R41" s="94"/>
      <c r="S41" s="94"/>
      <c r="T41" s="94"/>
      <c r="U41" s="94"/>
      <c r="V41" s="94"/>
      <c r="W41" s="94"/>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5"/>
      <c r="BN41" s="277"/>
    </row>
    <row r="42" customFormat="false" ht="15" hidden="false" customHeight="true" outlineLevel="0" collapsed="false">
      <c r="A42" s="271" t="n">
        <v>33</v>
      </c>
      <c r="B42" s="272" t="s">
        <v>280</v>
      </c>
      <c r="C42" s="273" t="s">
        <v>281</v>
      </c>
      <c r="D42" s="276"/>
      <c r="E42" s="94"/>
      <c r="F42" s="94"/>
      <c r="G42" s="94"/>
      <c r="H42" s="94"/>
      <c r="I42" s="94"/>
      <c r="J42" s="94"/>
      <c r="K42" s="94"/>
      <c r="L42" s="94"/>
      <c r="M42" s="94"/>
      <c r="N42" s="94"/>
      <c r="O42" s="94"/>
      <c r="P42" s="94"/>
      <c r="Q42" s="94"/>
      <c r="R42" s="94"/>
      <c r="S42" s="94"/>
      <c r="T42" s="94"/>
      <c r="U42" s="94"/>
      <c r="V42" s="94"/>
      <c r="W42" s="94"/>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5"/>
      <c r="BN42" s="277"/>
    </row>
    <row r="43" customFormat="false" ht="15" hidden="false" customHeight="true" outlineLevel="0" collapsed="false">
      <c r="A43" s="271" t="n">
        <v>34</v>
      </c>
      <c r="B43" s="272" t="s">
        <v>282</v>
      </c>
      <c r="C43" s="273" t="s">
        <v>283</v>
      </c>
      <c r="D43" s="276"/>
      <c r="E43" s="94"/>
      <c r="F43" s="94"/>
      <c r="G43" s="94"/>
      <c r="H43" s="94"/>
      <c r="I43" s="94"/>
      <c r="J43" s="94"/>
      <c r="K43" s="94"/>
      <c r="L43" s="94"/>
      <c r="M43" s="94"/>
      <c r="N43" s="94"/>
      <c r="O43" s="94"/>
      <c r="P43" s="94"/>
      <c r="Q43" s="94"/>
      <c r="R43" s="94"/>
      <c r="S43" s="94"/>
      <c r="T43" s="94"/>
      <c r="U43" s="94"/>
      <c r="V43" s="94"/>
      <c r="W43" s="94"/>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5"/>
      <c r="BN43" s="277"/>
    </row>
    <row r="44" customFormat="false" ht="15" hidden="false" customHeight="true" outlineLevel="0" collapsed="false">
      <c r="A44" s="271" t="n">
        <v>35</v>
      </c>
      <c r="B44" s="272" t="s">
        <v>284</v>
      </c>
      <c r="C44" s="273" t="s">
        <v>285</v>
      </c>
      <c r="D44" s="276"/>
      <c r="E44" s="94"/>
      <c r="F44" s="94"/>
      <c r="G44" s="94"/>
      <c r="H44" s="94"/>
      <c r="I44" s="94"/>
      <c r="J44" s="94"/>
      <c r="K44" s="94"/>
      <c r="L44" s="94"/>
      <c r="M44" s="94"/>
      <c r="N44" s="94"/>
      <c r="O44" s="94"/>
      <c r="P44" s="94"/>
      <c r="Q44" s="94"/>
      <c r="R44" s="94"/>
      <c r="S44" s="94"/>
      <c r="T44" s="94"/>
      <c r="U44" s="94"/>
      <c r="V44" s="94"/>
      <c r="W44" s="94"/>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5"/>
      <c r="BN44" s="277"/>
    </row>
    <row r="45" customFormat="false" ht="15" hidden="false" customHeight="true" outlineLevel="0" collapsed="false">
      <c r="A45" s="271" t="n">
        <v>36</v>
      </c>
      <c r="B45" s="272" t="s">
        <v>286</v>
      </c>
      <c r="C45" s="273" t="s">
        <v>287</v>
      </c>
      <c r="D45" s="276"/>
      <c r="E45" s="94"/>
      <c r="F45" s="94"/>
      <c r="G45" s="94"/>
      <c r="H45" s="94"/>
      <c r="I45" s="94"/>
      <c r="J45" s="94"/>
      <c r="K45" s="94"/>
      <c r="L45" s="94"/>
      <c r="M45" s="94"/>
      <c r="N45" s="94"/>
      <c r="O45" s="94"/>
      <c r="P45" s="94"/>
      <c r="Q45" s="94"/>
      <c r="R45" s="94"/>
      <c r="S45" s="94"/>
      <c r="T45" s="94"/>
      <c r="U45" s="94"/>
      <c r="V45" s="94"/>
      <c r="W45" s="94"/>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5"/>
      <c r="BN45" s="277"/>
    </row>
    <row r="46" customFormat="false" ht="15" hidden="false" customHeight="true" outlineLevel="0" collapsed="false">
      <c r="A46" s="271" t="n">
        <v>37</v>
      </c>
      <c r="B46" s="272" t="s">
        <v>288</v>
      </c>
      <c r="C46" s="273" t="s">
        <v>289</v>
      </c>
      <c r="D46" s="276"/>
      <c r="E46" s="94"/>
      <c r="F46" s="94"/>
      <c r="G46" s="94"/>
      <c r="H46" s="94"/>
      <c r="I46" s="94"/>
      <c r="J46" s="94"/>
      <c r="K46" s="94"/>
      <c r="L46" s="94"/>
      <c r="M46" s="94"/>
      <c r="N46" s="94"/>
      <c r="O46" s="94"/>
      <c r="P46" s="94"/>
      <c r="Q46" s="94"/>
      <c r="R46" s="94"/>
      <c r="S46" s="94"/>
      <c r="T46" s="94"/>
      <c r="U46" s="94"/>
      <c r="V46" s="94"/>
      <c r="W46" s="94"/>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5"/>
      <c r="BN46" s="277"/>
    </row>
    <row r="47" customFormat="false" ht="15" hidden="false" customHeight="true" outlineLevel="0" collapsed="false">
      <c r="A47" s="271" t="n">
        <v>38</v>
      </c>
      <c r="B47" s="272" t="s">
        <v>290</v>
      </c>
      <c r="C47" s="273" t="s">
        <v>291</v>
      </c>
      <c r="D47" s="276"/>
      <c r="E47" s="94"/>
      <c r="F47" s="94"/>
      <c r="G47" s="94"/>
      <c r="H47" s="94"/>
      <c r="I47" s="94"/>
      <c r="J47" s="94"/>
      <c r="K47" s="94"/>
      <c r="L47" s="94"/>
      <c r="M47" s="94"/>
      <c r="N47" s="94"/>
      <c r="O47" s="94"/>
      <c r="P47" s="94"/>
      <c r="Q47" s="94"/>
      <c r="R47" s="94"/>
      <c r="S47" s="94"/>
      <c r="T47" s="94"/>
      <c r="U47" s="94"/>
      <c r="V47" s="94"/>
      <c r="W47" s="94"/>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5"/>
      <c r="BN47" s="277"/>
    </row>
    <row r="48" customFormat="false" ht="15" hidden="false" customHeight="true" outlineLevel="0" collapsed="false">
      <c r="A48" s="271" t="n">
        <v>39</v>
      </c>
      <c r="B48" s="272" t="s">
        <v>292</v>
      </c>
      <c r="C48" s="273" t="s">
        <v>293</v>
      </c>
      <c r="D48" s="276"/>
      <c r="E48" s="94"/>
      <c r="F48" s="94"/>
      <c r="G48" s="94"/>
      <c r="H48" s="94"/>
      <c r="I48" s="94"/>
      <c r="J48" s="94"/>
      <c r="K48" s="94"/>
      <c r="L48" s="94"/>
      <c r="M48" s="94"/>
      <c r="N48" s="94"/>
      <c r="O48" s="94"/>
      <c r="P48" s="94"/>
      <c r="Q48" s="94"/>
      <c r="R48" s="94"/>
      <c r="S48" s="94"/>
      <c r="T48" s="94"/>
      <c r="U48" s="94"/>
      <c r="V48" s="94"/>
      <c r="W48" s="94"/>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5"/>
      <c r="BN48" s="277"/>
    </row>
    <row r="49" customFormat="false" ht="15" hidden="false" customHeight="true" outlineLevel="0" collapsed="false">
      <c r="A49" s="271" t="n">
        <v>40</v>
      </c>
      <c r="B49" s="272" t="s">
        <v>294</v>
      </c>
      <c r="C49" s="273" t="s">
        <v>295</v>
      </c>
      <c r="D49" s="276"/>
      <c r="E49" s="94"/>
      <c r="F49" s="94"/>
      <c r="G49" s="94"/>
      <c r="H49" s="94"/>
      <c r="I49" s="94"/>
      <c r="J49" s="94"/>
      <c r="K49" s="94"/>
      <c r="L49" s="94"/>
      <c r="M49" s="94"/>
      <c r="N49" s="94"/>
      <c r="O49" s="94"/>
      <c r="P49" s="94"/>
      <c r="Q49" s="94"/>
      <c r="R49" s="94"/>
      <c r="S49" s="94"/>
      <c r="T49" s="94"/>
      <c r="U49" s="94"/>
      <c r="V49" s="94"/>
      <c r="W49" s="94"/>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5"/>
      <c r="BN49" s="277"/>
    </row>
    <row r="50" customFormat="false" ht="15" hidden="false" customHeight="true" outlineLevel="0" collapsed="false">
      <c r="A50" s="271" t="n">
        <v>41</v>
      </c>
      <c r="B50" s="272" t="s">
        <v>296</v>
      </c>
      <c r="C50" s="273" t="s">
        <v>297</v>
      </c>
      <c r="D50" s="276"/>
      <c r="E50" s="94"/>
      <c r="F50" s="94"/>
      <c r="G50" s="94"/>
      <c r="H50" s="94"/>
      <c r="I50" s="94"/>
      <c r="J50" s="94"/>
      <c r="K50" s="94"/>
      <c r="L50" s="94"/>
      <c r="M50" s="94"/>
      <c r="N50" s="94"/>
      <c r="O50" s="94"/>
      <c r="P50" s="94"/>
      <c r="Q50" s="94"/>
      <c r="R50" s="94"/>
      <c r="S50" s="94"/>
      <c r="T50" s="94"/>
      <c r="U50" s="94"/>
      <c r="V50" s="94"/>
      <c r="W50" s="94"/>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5"/>
      <c r="BN50" s="277"/>
    </row>
    <row r="51" customFormat="false" ht="15" hidden="false" customHeight="true" outlineLevel="0" collapsed="false">
      <c r="A51" s="271" t="n">
        <v>42</v>
      </c>
      <c r="B51" s="272" t="s">
        <v>298</v>
      </c>
      <c r="C51" s="273" t="s">
        <v>299</v>
      </c>
      <c r="D51" s="276"/>
      <c r="E51" s="94"/>
      <c r="F51" s="94"/>
      <c r="G51" s="94"/>
      <c r="H51" s="94"/>
      <c r="I51" s="94"/>
      <c r="J51" s="94"/>
      <c r="K51" s="94"/>
      <c r="L51" s="94"/>
      <c r="M51" s="94"/>
      <c r="N51" s="94"/>
      <c r="O51" s="94"/>
      <c r="P51" s="94"/>
      <c r="Q51" s="94"/>
      <c r="R51" s="94"/>
      <c r="S51" s="94"/>
      <c r="T51" s="94"/>
      <c r="U51" s="94"/>
      <c r="V51" s="94"/>
      <c r="W51" s="94"/>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5"/>
      <c r="BN51" s="277"/>
    </row>
    <row r="52" customFormat="false" ht="15" hidden="false" customHeight="true" outlineLevel="0" collapsed="false">
      <c r="A52" s="271" t="n">
        <v>43</v>
      </c>
      <c r="B52" s="272" t="s">
        <v>300</v>
      </c>
      <c r="C52" s="273" t="s">
        <v>301</v>
      </c>
      <c r="D52" s="276"/>
      <c r="E52" s="94"/>
      <c r="F52" s="94"/>
      <c r="G52" s="94"/>
      <c r="H52" s="94"/>
      <c r="I52" s="94"/>
      <c r="J52" s="94"/>
      <c r="K52" s="94"/>
      <c r="L52" s="94"/>
      <c r="M52" s="94"/>
      <c r="N52" s="94"/>
      <c r="O52" s="94"/>
      <c r="P52" s="94"/>
      <c r="Q52" s="94"/>
      <c r="R52" s="94"/>
      <c r="S52" s="94"/>
      <c r="T52" s="94"/>
      <c r="U52" s="94"/>
      <c r="V52" s="94"/>
      <c r="W52" s="94"/>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5"/>
      <c r="BN52" s="277"/>
    </row>
    <row r="53" customFormat="false" ht="15" hidden="false" customHeight="true" outlineLevel="0" collapsed="false">
      <c r="A53" s="271" t="n">
        <v>44</v>
      </c>
      <c r="B53" s="272" t="s">
        <v>302</v>
      </c>
      <c r="C53" s="273" t="s">
        <v>303</v>
      </c>
      <c r="D53" s="276"/>
      <c r="E53" s="94"/>
      <c r="F53" s="94"/>
      <c r="G53" s="94"/>
      <c r="H53" s="94"/>
      <c r="I53" s="94"/>
      <c r="J53" s="94"/>
      <c r="K53" s="94"/>
      <c r="L53" s="94"/>
      <c r="M53" s="94"/>
      <c r="N53" s="94"/>
      <c r="O53" s="94"/>
      <c r="P53" s="94"/>
      <c r="Q53" s="94"/>
      <c r="R53" s="94"/>
      <c r="S53" s="94"/>
      <c r="T53" s="94"/>
      <c r="U53" s="94"/>
      <c r="V53" s="94"/>
      <c r="W53" s="94"/>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5"/>
      <c r="BN53" s="277"/>
    </row>
    <row r="54" customFormat="false" ht="15" hidden="false" customHeight="true" outlineLevel="0" collapsed="false">
      <c r="A54" s="271" t="n">
        <v>45</v>
      </c>
      <c r="B54" s="272" t="s">
        <v>304</v>
      </c>
      <c r="C54" s="273" t="s">
        <v>305</v>
      </c>
      <c r="D54" s="276"/>
      <c r="E54" s="94"/>
      <c r="F54" s="94"/>
      <c r="G54" s="94"/>
      <c r="H54" s="94"/>
      <c r="I54" s="94"/>
      <c r="J54" s="94"/>
      <c r="K54" s="94"/>
      <c r="L54" s="94"/>
      <c r="M54" s="94"/>
      <c r="N54" s="94"/>
      <c r="O54" s="94"/>
      <c r="P54" s="94"/>
      <c r="Q54" s="94"/>
      <c r="R54" s="94"/>
      <c r="S54" s="94"/>
      <c r="T54" s="94"/>
      <c r="U54" s="94"/>
      <c r="V54" s="94"/>
      <c r="W54" s="94"/>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5"/>
      <c r="BN54" s="277"/>
    </row>
    <row r="55" customFormat="false" ht="15" hidden="false" customHeight="true" outlineLevel="0" collapsed="false">
      <c r="A55" s="271" t="n">
        <v>46</v>
      </c>
      <c r="B55" s="272" t="s">
        <v>306</v>
      </c>
      <c r="C55" s="273" t="s">
        <v>307</v>
      </c>
      <c r="D55" s="276"/>
      <c r="E55" s="94"/>
      <c r="F55" s="94"/>
      <c r="G55" s="94"/>
      <c r="H55" s="94"/>
      <c r="I55" s="94"/>
      <c r="J55" s="94"/>
      <c r="K55" s="94"/>
      <c r="L55" s="94"/>
      <c r="M55" s="94"/>
      <c r="N55" s="94"/>
      <c r="O55" s="94"/>
      <c r="P55" s="94"/>
      <c r="Q55" s="94"/>
      <c r="R55" s="94"/>
      <c r="S55" s="94"/>
      <c r="T55" s="94"/>
      <c r="U55" s="94"/>
      <c r="V55" s="94"/>
      <c r="W55" s="94"/>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5"/>
      <c r="BN55" s="277"/>
    </row>
    <row r="56" customFormat="false" ht="15" hidden="false" customHeight="true" outlineLevel="0" collapsed="false">
      <c r="A56" s="271" t="n">
        <v>47</v>
      </c>
      <c r="B56" s="272" t="s">
        <v>308</v>
      </c>
      <c r="C56" s="273" t="s">
        <v>309</v>
      </c>
      <c r="D56" s="276"/>
      <c r="E56" s="94"/>
      <c r="F56" s="94"/>
      <c r="G56" s="94"/>
      <c r="H56" s="94"/>
      <c r="I56" s="94"/>
      <c r="J56" s="94"/>
      <c r="K56" s="94"/>
      <c r="L56" s="94"/>
      <c r="M56" s="94"/>
      <c r="N56" s="94"/>
      <c r="O56" s="94"/>
      <c r="P56" s="94"/>
      <c r="Q56" s="94"/>
      <c r="R56" s="94"/>
      <c r="S56" s="94"/>
      <c r="T56" s="94"/>
      <c r="U56" s="94"/>
      <c r="V56" s="94"/>
      <c r="W56" s="94"/>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5"/>
      <c r="BN56" s="277"/>
    </row>
    <row r="57" customFormat="false" ht="15" hidden="false" customHeight="true" outlineLevel="0" collapsed="false">
      <c r="A57" s="271" t="n">
        <v>48</v>
      </c>
      <c r="B57" s="272" t="s">
        <v>310</v>
      </c>
      <c r="C57" s="273" t="s">
        <v>311</v>
      </c>
      <c r="D57" s="276"/>
      <c r="E57" s="94"/>
      <c r="F57" s="94"/>
      <c r="G57" s="94"/>
      <c r="H57" s="94"/>
      <c r="I57" s="94"/>
      <c r="J57" s="94"/>
      <c r="K57" s="94"/>
      <c r="L57" s="94"/>
      <c r="M57" s="94"/>
      <c r="N57" s="94"/>
      <c r="O57" s="94"/>
      <c r="P57" s="94"/>
      <c r="Q57" s="94"/>
      <c r="R57" s="94"/>
      <c r="S57" s="94"/>
      <c r="T57" s="94"/>
      <c r="U57" s="94"/>
      <c r="V57" s="94"/>
      <c r="W57" s="94"/>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5"/>
      <c r="BN57" s="277"/>
    </row>
    <row r="58" customFormat="false" ht="15" hidden="false" customHeight="true" outlineLevel="0" collapsed="false">
      <c r="A58" s="271" t="n">
        <v>49</v>
      </c>
      <c r="B58" s="272" t="s">
        <v>312</v>
      </c>
      <c r="C58" s="273" t="s">
        <v>313</v>
      </c>
      <c r="D58" s="276"/>
      <c r="E58" s="94"/>
      <c r="F58" s="94"/>
      <c r="G58" s="94"/>
      <c r="H58" s="94"/>
      <c r="I58" s="94"/>
      <c r="J58" s="94"/>
      <c r="K58" s="94"/>
      <c r="L58" s="94"/>
      <c r="M58" s="94"/>
      <c r="N58" s="94"/>
      <c r="O58" s="94"/>
      <c r="P58" s="94"/>
      <c r="Q58" s="94"/>
      <c r="R58" s="94"/>
      <c r="S58" s="94"/>
      <c r="T58" s="94"/>
      <c r="U58" s="94"/>
      <c r="V58" s="94"/>
      <c r="W58" s="94"/>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5"/>
      <c r="BN58" s="277"/>
    </row>
    <row r="59" customFormat="false" ht="15" hidden="false" customHeight="true" outlineLevel="0" collapsed="false">
      <c r="A59" s="271" t="n">
        <v>50</v>
      </c>
      <c r="B59" s="272" t="s">
        <v>314</v>
      </c>
      <c r="C59" s="273" t="s">
        <v>315</v>
      </c>
      <c r="D59" s="276"/>
      <c r="E59" s="94"/>
      <c r="F59" s="94"/>
      <c r="G59" s="94"/>
      <c r="H59" s="94"/>
      <c r="I59" s="94"/>
      <c r="J59" s="94"/>
      <c r="K59" s="94"/>
      <c r="L59" s="94"/>
      <c r="M59" s="94"/>
      <c r="N59" s="94"/>
      <c r="O59" s="94"/>
      <c r="P59" s="94"/>
      <c r="Q59" s="94"/>
      <c r="R59" s="94"/>
      <c r="S59" s="94"/>
      <c r="T59" s="94"/>
      <c r="U59" s="94"/>
      <c r="V59" s="94"/>
      <c r="W59" s="94"/>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5"/>
      <c r="BN59" s="277"/>
    </row>
    <row r="60" customFormat="false" ht="15" hidden="false" customHeight="true" outlineLevel="0" collapsed="false">
      <c r="A60" s="271" t="n">
        <v>51</v>
      </c>
      <c r="B60" s="272" t="s">
        <v>316</v>
      </c>
      <c r="C60" s="273" t="s">
        <v>317</v>
      </c>
      <c r="D60" s="276"/>
      <c r="E60" s="94"/>
      <c r="F60" s="94"/>
      <c r="G60" s="94"/>
      <c r="H60" s="94"/>
      <c r="I60" s="94"/>
      <c r="J60" s="94"/>
      <c r="K60" s="94"/>
      <c r="L60" s="94"/>
      <c r="M60" s="94"/>
      <c r="N60" s="94"/>
      <c r="O60" s="94"/>
      <c r="P60" s="94"/>
      <c r="Q60" s="94"/>
      <c r="R60" s="94"/>
      <c r="S60" s="94"/>
      <c r="T60" s="94"/>
      <c r="U60" s="94"/>
      <c r="V60" s="94"/>
      <c r="W60" s="94"/>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5"/>
      <c r="BN60" s="277"/>
    </row>
    <row r="61" customFormat="false" ht="15" hidden="false" customHeight="true" outlineLevel="0" collapsed="false">
      <c r="A61" s="271" t="n">
        <v>52</v>
      </c>
      <c r="B61" s="272" t="s">
        <v>318</v>
      </c>
      <c r="C61" s="273" t="s">
        <v>319</v>
      </c>
      <c r="D61" s="276"/>
      <c r="E61" s="94"/>
      <c r="F61" s="94"/>
      <c r="G61" s="94"/>
      <c r="H61" s="94"/>
      <c r="I61" s="94"/>
      <c r="J61" s="94"/>
      <c r="K61" s="94"/>
      <c r="L61" s="94"/>
      <c r="M61" s="94"/>
      <c r="N61" s="94"/>
      <c r="O61" s="94"/>
      <c r="P61" s="94"/>
      <c r="Q61" s="94"/>
      <c r="R61" s="94"/>
      <c r="S61" s="94"/>
      <c r="T61" s="94"/>
      <c r="U61" s="94"/>
      <c r="V61" s="94"/>
      <c r="W61" s="94"/>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5"/>
      <c r="BN61" s="277"/>
    </row>
    <row r="62" customFormat="false" ht="15" hidden="false" customHeight="true" outlineLevel="0" collapsed="false">
      <c r="A62" s="271" t="n">
        <v>53</v>
      </c>
      <c r="B62" s="272" t="s">
        <v>320</v>
      </c>
      <c r="C62" s="273" t="s">
        <v>321</v>
      </c>
      <c r="D62" s="276"/>
      <c r="E62" s="94"/>
      <c r="F62" s="94"/>
      <c r="G62" s="94"/>
      <c r="H62" s="94"/>
      <c r="I62" s="94"/>
      <c r="J62" s="94"/>
      <c r="K62" s="94"/>
      <c r="L62" s="94"/>
      <c r="M62" s="94"/>
      <c r="N62" s="94"/>
      <c r="O62" s="94"/>
      <c r="P62" s="94"/>
      <c r="Q62" s="94"/>
      <c r="R62" s="94"/>
      <c r="S62" s="94"/>
      <c r="T62" s="94"/>
      <c r="U62" s="94"/>
      <c r="V62" s="94"/>
      <c r="W62" s="94"/>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5"/>
      <c r="BN62" s="277"/>
    </row>
    <row r="63" customFormat="false" ht="15" hidden="false" customHeight="true" outlineLevel="0" collapsed="false">
      <c r="A63" s="271" t="n">
        <v>54</v>
      </c>
      <c r="B63" s="272" t="s">
        <v>322</v>
      </c>
      <c r="C63" s="273" t="s">
        <v>323</v>
      </c>
      <c r="D63" s="276"/>
      <c r="E63" s="94"/>
      <c r="F63" s="94"/>
      <c r="G63" s="94"/>
      <c r="H63" s="94"/>
      <c r="I63" s="94"/>
      <c r="J63" s="94"/>
      <c r="K63" s="94"/>
      <c r="L63" s="94"/>
      <c r="M63" s="94"/>
      <c r="N63" s="94"/>
      <c r="O63" s="94"/>
      <c r="P63" s="94"/>
      <c r="Q63" s="94"/>
      <c r="R63" s="94"/>
      <c r="S63" s="94"/>
      <c r="T63" s="94"/>
      <c r="U63" s="94"/>
      <c r="V63" s="94"/>
      <c r="W63" s="94"/>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5"/>
      <c r="BN63" s="277"/>
    </row>
    <row r="64" customFormat="false" ht="15" hidden="false" customHeight="true" outlineLevel="0" collapsed="false">
      <c r="A64" s="271" t="n">
        <v>55</v>
      </c>
      <c r="B64" s="272" t="s">
        <v>324</v>
      </c>
      <c r="C64" s="273" t="s">
        <v>325</v>
      </c>
      <c r="D64" s="276"/>
      <c r="E64" s="94"/>
      <c r="F64" s="94"/>
      <c r="G64" s="94"/>
      <c r="H64" s="94"/>
      <c r="I64" s="94"/>
      <c r="J64" s="94"/>
      <c r="K64" s="94"/>
      <c r="L64" s="94"/>
      <c r="M64" s="94"/>
      <c r="N64" s="94"/>
      <c r="O64" s="94"/>
      <c r="P64" s="94"/>
      <c r="Q64" s="94"/>
      <c r="R64" s="94"/>
      <c r="S64" s="94"/>
      <c r="T64" s="94"/>
      <c r="U64" s="94"/>
      <c r="V64" s="94"/>
      <c r="W64" s="94"/>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5"/>
      <c r="BN64" s="277"/>
    </row>
    <row r="65" customFormat="false" ht="15" hidden="false" customHeight="true" outlineLevel="0" collapsed="false">
      <c r="A65" s="271" t="n">
        <v>56</v>
      </c>
      <c r="B65" s="272" t="s">
        <v>326</v>
      </c>
      <c r="C65" s="273" t="s">
        <v>327</v>
      </c>
      <c r="D65" s="276"/>
      <c r="E65" s="94"/>
      <c r="F65" s="94"/>
      <c r="G65" s="94"/>
      <c r="H65" s="94"/>
      <c r="I65" s="94"/>
      <c r="J65" s="94"/>
      <c r="K65" s="94"/>
      <c r="L65" s="94"/>
      <c r="M65" s="94"/>
      <c r="N65" s="94"/>
      <c r="O65" s="94"/>
      <c r="P65" s="94"/>
      <c r="Q65" s="94"/>
      <c r="R65" s="94"/>
      <c r="S65" s="94"/>
      <c r="T65" s="94"/>
      <c r="U65" s="94"/>
      <c r="V65" s="94"/>
      <c r="W65" s="94"/>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5"/>
      <c r="BN65" s="277"/>
    </row>
    <row r="66" customFormat="false" ht="15" hidden="false" customHeight="true" outlineLevel="0" collapsed="false">
      <c r="A66" s="271" t="n">
        <v>57</v>
      </c>
      <c r="B66" s="272" t="s">
        <v>328</v>
      </c>
      <c r="C66" s="273" t="s">
        <v>329</v>
      </c>
      <c r="D66" s="276"/>
      <c r="E66" s="94"/>
      <c r="F66" s="94"/>
      <c r="G66" s="94"/>
      <c r="H66" s="94"/>
      <c r="I66" s="94"/>
      <c r="J66" s="94"/>
      <c r="K66" s="94"/>
      <c r="L66" s="94"/>
      <c r="M66" s="94"/>
      <c r="N66" s="94"/>
      <c r="O66" s="94"/>
      <c r="P66" s="94"/>
      <c r="Q66" s="94"/>
      <c r="R66" s="94"/>
      <c r="S66" s="94"/>
      <c r="T66" s="94"/>
      <c r="U66" s="94"/>
      <c r="V66" s="94"/>
      <c r="W66" s="94"/>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5"/>
      <c r="BN66" s="277"/>
    </row>
    <row r="67" customFormat="false" ht="15" hidden="false" customHeight="true" outlineLevel="0" collapsed="false">
      <c r="A67" s="271" t="n">
        <v>58</v>
      </c>
      <c r="B67" s="272" t="s">
        <v>330</v>
      </c>
      <c r="C67" s="273" t="s">
        <v>331</v>
      </c>
      <c r="D67" s="276"/>
      <c r="E67" s="94"/>
      <c r="F67" s="94"/>
      <c r="G67" s="94"/>
      <c r="H67" s="94"/>
      <c r="I67" s="94"/>
      <c r="J67" s="94"/>
      <c r="K67" s="94"/>
      <c r="L67" s="94"/>
      <c r="M67" s="94"/>
      <c r="N67" s="94"/>
      <c r="O67" s="94"/>
      <c r="P67" s="94"/>
      <c r="Q67" s="94"/>
      <c r="R67" s="94"/>
      <c r="S67" s="94"/>
      <c r="T67" s="94"/>
      <c r="U67" s="94"/>
      <c r="V67" s="94"/>
      <c r="W67" s="94"/>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5"/>
      <c r="BN67" s="277"/>
    </row>
    <row r="68" customFormat="false" ht="15" hidden="false" customHeight="true" outlineLevel="0" collapsed="false">
      <c r="A68" s="271" t="n">
        <v>59</v>
      </c>
      <c r="B68" s="272" t="s">
        <v>332</v>
      </c>
      <c r="C68" s="273" t="s">
        <v>333</v>
      </c>
      <c r="D68" s="276"/>
      <c r="E68" s="94"/>
      <c r="F68" s="94"/>
      <c r="G68" s="94"/>
      <c r="H68" s="94"/>
      <c r="I68" s="94"/>
      <c r="J68" s="94"/>
      <c r="K68" s="94"/>
      <c r="L68" s="94"/>
      <c r="M68" s="94"/>
      <c r="N68" s="94"/>
      <c r="O68" s="94"/>
      <c r="P68" s="94"/>
      <c r="Q68" s="94"/>
      <c r="R68" s="94"/>
      <c r="S68" s="94"/>
      <c r="T68" s="94"/>
      <c r="U68" s="94"/>
      <c r="V68" s="94"/>
      <c r="W68" s="94"/>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5"/>
      <c r="BN68" s="277"/>
    </row>
    <row r="69" customFormat="false" ht="15" hidden="false" customHeight="true" outlineLevel="0" collapsed="false">
      <c r="A69" s="271" t="n">
        <v>60</v>
      </c>
      <c r="B69" s="272" t="s">
        <v>334</v>
      </c>
      <c r="C69" s="273" t="s">
        <v>335</v>
      </c>
      <c r="D69" s="276"/>
      <c r="E69" s="94"/>
      <c r="F69" s="94"/>
      <c r="G69" s="94"/>
      <c r="H69" s="94"/>
      <c r="I69" s="94"/>
      <c r="J69" s="94"/>
      <c r="K69" s="94"/>
      <c r="L69" s="94"/>
      <c r="M69" s="94"/>
      <c r="N69" s="94"/>
      <c r="O69" s="94"/>
      <c r="P69" s="94"/>
      <c r="Q69" s="94"/>
      <c r="R69" s="94"/>
      <c r="S69" s="94"/>
      <c r="T69" s="94"/>
      <c r="U69" s="94"/>
      <c r="V69" s="94"/>
      <c r="W69" s="94"/>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5"/>
      <c r="BN69" s="277"/>
    </row>
    <row r="70" customFormat="false" ht="15" hidden="false" customHeight="true" outlineLevel="0" collapsed="false">
      <c r="A70" s="271" t="n">
        <v>61</v>
      </c>
      <c r="B70" s="272" t="s">
        <v>336</v>
      </c>
      <c r="C70" s="273" t="s">
        <v>337</v>
      </c>
      <c r="D70" s="276"/>
      <c r="E70" s="94"/>
      <c r="F70" s="94"/>
      <c r="G70" s="94"/>
      <c r="H70" s="94"/>
      <c r="I70" s="94"/>
      <c r="J70" s="94"/>
      <c r="K70" s="94"/>
      <c r="L70" s="94"/>
      <c r="M70" s="94"/>
      <c r="N70" s="94"/>
      <c r="O70" s="94"/>
      <c r="P70" s="94"/>
      <c r="Q70" s="94"/>
      <c r="R70" s="94"/>
      <c r="S70" s="94"/>
      <c r="T70" s="94"/>
      <c r="U70" s="94"/>
      <c r="V70" s="94"/>
      <c r="W70" s="94"/>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5"/>
      <c r="BN70" s="277"/>
    </row>
    <row r="71" customFormat="false" ht="15" hidden="false" customHeight="true" outlineLevel="0" collapsed="false">
      <c r="A71" s="271" t="n">
        <v>62</v>
      </c>
      <c r="B71" s="272" t="s">
        <v>338</v>
      </c>
      <c r="C71" s="273" t="s">
        <v>339</v>
      </c>
      <c r="D71" s="276"/>
      <c r="E71" s="94"/>
      <c r="F71" s="94"/>
      <c r="G71" s="94"/>
      <c r="H71" s="94"/>
      <c r="I71" s="94"/>
      <c r="J71" s="94"/>
      <c r="K71" s="94"/>
      <c r="L71" s="94"/>
      <c r="M71" s="94"/>
      <c r="N71" s="94"/>
      <c r="O71" s="94"/>
      <c r="P71" s="94"/>
      <c r="Q71" s="94"/>
      <c r="R71" s="94"/>
      <c r="S71" s="94"/>
      <c r="T71" s="94"/>
      <c r="U71" s="94"/>
      <c r="V71" s="94"/>
      <c r="W71" s="94"/>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5"/>
      <c r="BN71" s="277"/>
    </row>
    <row r="72" customFormat="false" ht="15" hidden="false" customHeight="true" outlineLevel="0" collapsed="false">
      <c r="A72" s="271" t="n">
        <v>63</v>
      </c>
      <c r="B72" s="272" t="s">
        <v>340</v>
      </c>
      <c r="C72" s="273" t="s">
        <v>341</v>
      </c>
      <c r="D72" s="276"/>
      <c r="E72" s="94"/>
      <c r="F72" s="94"/>
      <c r="G72" s="94"/>
      <c r="H72" s="94"/>
      <c r="I72" s="94"/>
      <c r="J72" s="94"/>
      <c r="K72" s="94"/>
      <c r="L72" s="94"/>
      <c r="M72" s="94"/>
      <c r="N72" s="94"/>
      <c r="O72" s="94"/>
      <c r="P72" s="94"/>
      <c r="Q72" s="94"/>
      <c r="R72" s="94"/>
      <c r="S72" s="94"/>
      <c r="T72" s="94"/>
      <c r="U72" s="94"/>
      <c r="V72" s="94"/>
      <c r="W72" s="94"/>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5"/>
      <c r="BN72" s="277"/>
    </row>
    <row r="73" customFormat="false" ht="15" hidden="false" customHeight="true" outlineLevel="0" collapsed="false">
      <c r="A73" s="271" t="n">
        <v>64</v>
      </c>
      <c r="B73" s="272" t="s">
        <v>342</v>
      </c>
      <c r="C73" s="273" t="s">
        <v>343</v>
      </c>
      <c r="D73" s="276"/>
      <c r="E73" s="94"/>
      <c r="F73" s="94"/>
      <c r="G73" s="94"/>
      <c r="H73" s="94"/>
      <c r="I73" s="94"/>
      <c r="J73" s="94"/>
      <c r="K73" s="94"/>
      <c r="L73" s="94"/>
      <c r="M73" s="94"/>
      <c r="N73" s="94"/>
      <c r="O73" s="94"/>
      <c r="P73" s="94"/>
      <c r="Q73" s="94"/>
      <c r="R73" s="94"/>
      <c r="S73" s="94"/>
      <c r="T73" s="94"/>
      <c r="U73" s="94"/>
      <c r="V73" s="94"/>
      <c r="W73" s="94"/>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5"/>
      <c r="BN73" s="277"/>
    </row>
    <row r="74" customFormat="false" ht="15" hidden="false" customHeight="true" outlineLevel="0" collapsed="false">
      <c r="A74" s="271" t="n">
        <v>65</v>
      </c>
      <c r="B74" s="272" t="s">
        <v>344</v>
      </c>
      <c r="C74" s="273" t="s">
        <v>345</v>
      </c>
      <c r="D74" s="276"/>
      <c r="E74" s="94"/>
      <c r="F74" s="94"/>
      <c r="G74" s="94"/>
      <c r="H74" s="94"/>
      <c r="I74" s="94"/>
      <c r="J74" s="94"/>
      <c r="K74" s="94"/>
      <c r="L74" s="94"/>
      <c r="M74" s="94"/>
      <c r="N74" s="94"/>
      <c r="O74" s="94"/>
      <c r="P74" s="94"/>
      <c r="Q74" s="94"/>
      <c r="R74" s="94"/>
      <c r="S74" s="94"/>
      <c r="T74" s="94"/>
      <c r="U74" s="94"/>
      <c r="V74" s="94"/>
      <c r="W74" s="94"/>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5"/>
      <c r="BN74" s="277"/>
    </row>
    <row r="75" customFormat="false" ht="15" hidden="false" customHeight="true" outlineLevel="0" collapsed="false">
      <c r="A75" s="271" t="n">
        <v>66</v>
      </c>
      <c r="B75" s="272" t="s">
        <v>346</v>
      </c>
      <c r="C75" s="273" t="s">
        <v>347</v>
      </c>
      <c r="D75" s="276"/>
      <c r="E75" s="94"/>
      <c r="F75" s="94"/>
      <c r="G75" s="94"/>
      <c r="H75" s="94"/>
      <c r="I75" s="94"/>
      <c r="J75" s="94"/>
      <c r="K75" s="94"/>
      <c r="L75" s="94"/>
      <c r="M75" s="94"/>
      <c r="N75" s="94"/>
      <c r="O75" s="94"/>
      <c r="P75" s="94"/>
      <c r="Q75" s="94"/>
      <c r="R75" s="94"/>
      <c r="S75" s="94"/>
      <c r="T75" s="94"/>
      <c r="U75" s="94"/>
      <c r="V75" s="94"/>
      <c r="W75" s="94"/>
      <c r="X75" s="80"/>
      <c r="Y75" s="80"/>
      <c r="Z75" s="80"/>
      <c r="AA75" s="80"/>
      <c r="AB75" s="80"/>
      <c r="AC75" s="80"/>
      <c r="AD75" s="80"/>
      <c r="AE75" s="80"/>
      <c r="AF75" s="80"/>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5"/>
      <c r="BN75" s="277"/>
    </row>
    <row r="76" customFormat="false" ht="15" hidden="false" customHeight="true" outlineLevel="0" collapsed="false">
      <c r="A76" s="271" t="n">
        <v>67</v>
      </c>
      <c r="B76" s="272" t="s">
        <v>348</v>
      </c>
      <c r="C76" s="273" t="s">
        <v>349</v>
      </c>
      <c r="D76" s="276"/>
      <c r="E76" s="80"/>
      <c r="F76" s="80"/>
      <c r="G76" s="80"/>
      <c r="H76" s="80"/>
      <c r="I76" s="80"/>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5"/>
      <c r="BN76" s="277"/>
    </row>
    <row r="77" customFormat="false" ht="15" hidden="false" customHeight="true" outlineLevel="0" collapsed="false">
      <c r="A77" s="271" t="n">
        <v>68</v>
      </c>
      <c r="B77" s="272" t="s">
        <v>350</v>
      </c>
      <c r="C77" s="273" t="s">
        <v>351</v>
      </c>
      <c r="D77" s="276"/>
      <c r="E77" s="80"/>
      <c r="F77" s="80"/>
      <c r="G77" s="80"/>
      <c r="H77" s="80"/>
      <c r="I77" s="80"/>
      <c r="J77" s="80"/>
      <c r="K77" s="80"/>
      <c r="L77" s="80"/>
      <c r="M77" s="80"/>
      <c r="N77" s="80"/>
      <c r="O77" s="80"/>
      <c r="P77" s="80"/>
      <c r="Q77" s="80"/>
      <c r="R77" s="80"/>
      <c r="S77" s="80"/>
      <c r="T77" s="80"/>
      <c r="U77" s="80"/>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5"/>
      <c r="BN77" s="277"/>
    </row>
    <row r="78" customFormat="false" ht="15" hidden="false" customHeight="true" outlineLevel="0" collapsed="false">
      <c r="A78" s="271" t="n">
        <v>69</v>
      </c>
      <c r="B78" s="272" t="s">
        <v>352</v>
      </c>
      <c r="C78" s="273" t="s">
        <v>353</v>
      </c>
      <c r="D78" s="276"/>
      <c r="E78" s="80"/>
      <c r="F78" s="80"/>
      <c r="G78" s="80"/>
      <c r="H78" s="80"/>
      <c r="I78" s="80"/>
      <c r="J78" s="80"/>
      <c r="K78" s="80"/>
      <c r="L78" s="80"/>
      <c r="M78" s="80"/>
      <c r="N78" s="80"/>
      <c r="O78" s="80"/>
      <c r="P78" s="80"/>
      <c r="Q78" s="80"/>
      <c r="R78" s="80"/>
      <c r="S78" s="80"/>
      <c r="T78" s="80"/>
      <c r="U78" s="80"/>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5"/>
      <c r="BN78" s="277"/>
    </row>
    <row r="79" customFormat="false" ht="15" hidden="false" customHeight="true" outlineLevel="0" collapsed="false">
      <c r="A79" s="271" t="n">
        <v>70</v>
      </c>
      <c r="B79" s="279" t="s">
        <v>354</v>
      </c>
      <c r="C79" s="280" t="s">
        <v>355</v>
      </c>
      <c r="D79" s="276"/>
      <c r="E79" s="80"/>
      <c r="F79" s="80"/>
      <c r="G79" s="80"/>
      <c r="H79" s="80"/>
      <c r="I79" s="80"/>
      <c r="J79" s="80"/>
      <c r="K79" s="80"/>
      <c r="L79" s="80"/>
      <c r="M79" s="80"/>
      <c r="N79" s="80"/>
      <c r="O79" s="80"/>
      <c r="P79" s="80"/>
      <c r="Q79" s="80"/>
      <c r="R79" s="80"/>
      <c r="S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5"/>
      <c r="BN79" s="277"/>
    </row>
    <row r="80" customFormat="false" ht="18" hidden="false" customHeight="true" outlineLevel="0" collapsed="false">
      <c r="A80" s="80"/>
      <c r="B80" s="281"/>
      <c r="C80" s="282" t="s">
        <v>356</v>
      </c>
      <c r="D80" s="274"/>
      <c r="E80" s="283" t="n">
        <f aca="false">COUNTIF(E10:E79, "P")</f>
        <v>0</v>
      </c>
      <c r="F80" s="284" t="n">
        <f aca="false">COUNTIF(F10:F79, "P")</f>
        <v>0</v>
      </c>
      <c r="G80" s="284" t="n">
        <f aca="false">COUNTIF(G10:G79, "P")</f>
        <v>0</v>
      </c>
      <c r="H80" s="284" t="n">
        <f aca="false">COUNTIF(H10:H79, "P")</f>
        <v>0</v>
      </c>
      <c r="I80" s="284" t="n">
        <f aca="false">COUNTIF(I10:I79, "P")</f>
        <v>0</v>
      </c>
      <c r="J80" s="284" t="n">
        <f aca="false">COUNTIF(J10:J79, "P")</f>
        <v>0</v>
      </c>
      <c r="K80" s="284" t="n">
        <f aca="false">COUNTIF(K10:K79, "P")</f>
        <v>0</v>
      </c>
      <c r="L80" s="284" t="n">
        <f aca="false">COUNTIF(L10:L79, "P")</f>
        <v>0</v>
      </c>
      <c r="M80" s="284" t="n">
        <f aca="false">COUNTIF(M10:M79, "P")</f>
        <v>0</v>
      </c>
      <c r="N80" s="284" t="n">
        <f aca="false">COUNTIF(N10:N79, "P")</f>
        <v>0</v>
      </c>
      <c r="O80" s="284" t="n">
        <f aca="false">COUNTIF(O10:O79, "P")</f>
        <v>0</v>
      </c>
      <c r="P80" s="284" t="n">
        <f aca="false">COUNTIF(P10:P79, "P")</f>
        <v>0</v>
      </c>
      <c r="Q80" s="284" t="n">
        <f aca="false">COUNTIF(Q10:Q79, "P")</f>
        <v>0</v>
      </c>
      <c r="R80" s="284" t="n">
        <f aca="false">COUNTIF(R10:R79, "P")</f>
        <v>0</v>
      </c>
      <c r="S80" s="284" t="n">
        <f aca="false">COUNTIF(S10:S79, "P")</f>
        <v>0</v>
      </c>
      <c r="T80" s="284" t="n">
        <f aca="false">COUNTIF(T10:T79, "P")</f>
        <v>0</v>
      </c>
      <c r="U80" s="284" t="n">
        <f aca="false">COUNTIF(U10:U79, "P")</f>
        <v>0</v>
      </c>
      <c r="V80" s="284" t="n">
        <f aca="false">COUNTIF(V10:V79, "P")</f>
        <v>0</v>
      </c>
      <c r="W80" s="284" t="n">
        <f aca="false">COUNTIF(W10:W79, "P")</f>
        <v>0</v>
      </c>
      <c r="X80" s="284" t="n">
        <f aca="false">COUNTIF(X10:X79, "P")</f>
        <v>0</v>
      </c>
      <c r="Y80" s="284" t="n">
        <f aca="false">COUNTIF(Y10:Y79, "P")</f>
        <v>0</v>
      </c>
      <c r="Z80" s="284" t="n">
        <f aca="false">COUNTIF(Z10:Z79, "P")</f>
        <v>0</v>
      </c>
      <c r="AA80" s="284" t="n">
        <f aca="false">COUNTIF(AA10:AA79, "P")</f>
        <v>0</v>
      </c>
      <c r="AB80" s="284" t="n">
        <f aca="false">COUNTIF(AB10:AB79, "P")</f>
        <v>0</v>
      </c>
      <c r="AC80" s="284" t="n">
        <f aca="false">COUNTIF(AC10:AC79, "P")</f>
        <v>0</v>
      </c>
      <c r="AD80" s="284" t="n">
        <f aca="false">COUNTIF(AD10:AD79, "P")</f>
        <v>0</v>
      </c>
      <c r="AE80" s="284" t="n">
        <f aca="false">COUNTIF(AE10:AE79, "P")</f>
        <v>0</v>
      </c>
      <c r="AF80" s="284" t="n">
        <f aca="false">COUNTIF(AF10:AF79, "P")</f>
        <v>0</v>
      </c>
      <c r="AG80" s="284" t="n">
        <f aca="false">COUNTIF(AG10:AG79, "P")</f>
        <v>0</v>
      </c>
      <c r="AH80" s="284" t="n">
        <f aca="false">COUNTIF(AH10:AH79, "P")</f>
        <v>0</v>
      </c>
      <c r="AI80" s="284" t="n">
        <f aca="false">COUNTIF(AI10:AI79, "P")</f>
        <v>0</v>
      </c>
      <c r="AJ80" s="284" t="n">
        <f aca="false">COUNTIF(AJ10:AJ79, "P")</f>
        <v>0</v>
      </c>
      <c r="AK80" s="284" t="n">
        <f aca="false">COUNTIF(AK10:AK79, "P")</f>
        <v>0</v>
      </c>
      <c r="AL80" s="284" t="n">
        <f aca="false">COUNTIF(AL10:AL79, "P")</f>
        <v>0</v>
      </c>
      <c r="AM80" s="284" t="n">
        <f aca="false">COUNTIF(AM10:AM79, "P")</f>
        <v>0</v>
      </c>
      <c r="AN80" s="284" t="n">
        <f aca="false">COUNTIF(AN10:AN79, "P")</f>
        <v>0</v>
      </c>
      <c r="AO80" s="284" t="n">
        <f aca="false">COUNTIF(AO10:AO79, "P")</f>
        <v>0</v>
      </c>
      <c r="AP80" s="284" t="n">
        <f aca="false">COUNTIF(AP10:AP79, "P")</f>
        <v>0</v>
      </c>
      <c r="AQ80" s="284" t="n">
        <f aca="false">COUNTIF(AQ10:AQ79, "P")</f>
        <v>0</v>
      </c>
      <c r="AR80" s="284" t="n">
        <f aca="false">COUNTIF(AR10:AR79, "P")</f>
        <v>0</v>
      </c>
      <c r="AS80" s="284" t="n">
        <f aca="false">COUNTIF(AS10:AS79, "P")</f>
        <v>0</v>
      </c>
      <c r="AT80" s="284" t="n">
        <f aca="false">COUNTIF(AT10:AT79, "P")</f>
        <v>0</v>
      </c>
      <c r="AU80" s="284" t="n">
        <f aca="false">COUNTIF(AU10:AU79, "P")</f>
        <v>0</v>
      </c>
      <c r="AV80" s="284" t="n">
        <f aca="false">COUNTIF(AV10:AV79, "P")</f>
        <v>0</v>
      </c>
      <c r="AW80" s="284" t="n">
        <f aca="false">COUNTIF(AW10:AW79, "P")</f>
        <v>0</v>
      </c>
      <c r="AX80" s="284" t="n">
        <f aca="false">COUNTIF(AX10:AX79, "P")</f>
        <v>0</v>
      </c>
      <c r="AY80" s="284" t="n">
        <f aca="false">COUNTIF(AY10:AY79, "P")</f>
        <v>0</v>
      </c>
      <c r="AZ80" s="284" t="n">
        <f aca="false">COUNTIF(AZ10:AZ79, "P")</f>
        <v>0</v>
      </c>
      <c r="BA80" s="284" t="n">
        <f aca="false">COUNTIF(BA10:BA79, "P")</f>
        <v>0</v>
      </c>
      <c r="BB80" s="284" t="n">
        <f aca="false">COUNTIF(BB10:BB79, "P")</f>
        <v>0</v>
      </c>
      <c r="BC80" s="284" t="n">
        <f aca="false">COUNTIF(BC10:BC79, "P")</f>
        <v>0</v>
      </c>
      <c r="BD80" s="284" t="n">
        <f aca="false">COUNTIF(BD10:BD79, "P")</f>
        <v>0</v>
      </c>
      <c r="BE80" s="284" t="n">
        <f aca="false">COUNTIF(BE10:BE79, "P")</f>
        <v>0</v>
      </c>
      <c r="BF80" s="284" t="n">
        <f aca="false">COUNTIF(BF10:BF79, "P")</f>
        <v>0</v>
      </c>
      <c r="BG80" s="284" t="n">
        <f aca="false">COUNTIF(BG10:BG79, "P")</f>
        <v>0</v>
      </c>
      <c r="BH80" s="284" t="n">
        <f aca="false">COUNTIF(BH10:BH79, "P")</f>
        <v>0</v>
      </c>
      <c r="BI80" s="284" t="n">
        <f aca="false">COUNTIF(BI10:BI79, "P")</f>
        <v>0</v>
      </c>
      <c r="BJ80" s="284" t="n">
        <f aca="false">COUNTIF(BJ10:BJ79, "P")</f>
        <v>0</v>
      </c>
      <c r="BK80" s="284" t="n">
        <f aca="false">COUNTIF(BK10:BK79, "P")</f>
        <v>0</v>
      </c>
      <c r="BL80" s="284" t="n">
        <f aca="false">COUNTIF(BL10:BL79, "P")</f>
        <v>0</v>
      </c>
      <c r="BM80" s="85" t="n">
        <f aca="false">SUM(E80:BL80)</f>
        <v>0</v>
      </c>
      <c r="BN80" s="277" t="n">
        <f aca="false">IF(BM$9&gt;0, BM80/(BM$9*$BJ$4)*100, 0)</f>
        <v>0</v>
      </c>
    </row>
    <row r="81" customFormat="false" ht="26.25" hidden="false" customHeight="true" outlineLevel="0" collapsed="false">
      <c r="A81" s="80"/>
      <c r="B81" s="281"/>
      <c r="C81" s="282" t="s">
        <v>357</v>
      </c>
      <c r="D81" s="276"/>
      <c r="E81" s="285" t="n">
        <f aca="false">IF($BJ$4&gt;0, E80/$BJ$4*100, 0)</f>
        <v>0</v>
      </c>
      <c r="F81" s="286" t="n">
        <f aca="false">IF($BJ$4&gt;0, F80/$BJ$4*100, 0)</f>
        <v>0</v>
      </c>
      <c r="G81" s="286" t="n">
        <f aca="false">IF($BJ$4&gt;0, G80/$BJ$4*100, 0)</f>
        <v>0</v>
      </c>
      <c r="H81" s="286" t="n">
        <f aca="false">IF($BJ$4&gt;0, H80/$BJ$4*100, 0)</f>
        <v>0</v>
      </c>
      <c r="I81" s="286" t="n">
        <f aca="false">IF($BJ$4&gt;0, I80/$BJ$4*100, 0)</f>
        <v>0</v>
      </c>
      <c r="J81" s="286" t="n">
        <f aca="false">IF($BJ$4&gt;0, J80/$BJ$4*100, 0)</f>
        <v>0</v>
      </c>
      <c r="K81" s="286" t="n">
        <f aca="false">IF($BJ$4&gt;0, K80/$BJ$4*100, 0)</f>
        <v>0</v>
      </c>
      <c r="L81" s="286" t="n">
        <f aca="false">IF($BJ$4&gt;0, L80/$BJ$4*100, 0)</f>
        <v>0</v>
      </c>
      <c r="M81" s="286" t="n">
        <f aca="false">IF($BJ$4&gt;0, M80/$BJ$4*100, 0)</f>
        <v>0</v>
      </c>
      <c r="N81" s="286" t="n">
        <f aca="false">IF($BJ$4&gt;0, N80/$BJ$4*100, 0)</f>
        <v>0</v>
      </c>
      <c r="O81" s="286" t="n">
        <f aca="false">IF($BJ$4&gt;0, O80/$BJ$4*100, 0)</f>
        <v>0</v>
      </c>
      <c r="P81" s="286" t="n">
        <f aca="false">IF($BJ$4&gt;0, P80/$BJ$4*100, 0)</f>
        <v>0</v>
      </c>
      <c r="Q81" s="286" t="n">
        <f aca="false">IF($BJ$4&gt;0, Q80/$BJ$4*100, 0)</f>
        <v>0</v>
      </c>
      <c r="R81" s="286" t="n">
        <f aca="false">IF($BJ$4&gt;0, R80/$BJ$4*100, 0)</f>
        <v>0</v>
      </c>
      <c r="S81" s="286" t="n">
        <f aca="false">IF($BJ$4&gt;0, S80/$BJ$4*100, 0)</f>
        <v>0</v>
      </c>
      <c r="T81" s="286" t="n">
        <f aca="false">IF($BJ$4&gt;0, T80/$BJ$4*100, 0)</f>
        <v>0</v>
      </c>
      <c r="U81" s="286" t="n">
        <f aca="false">IF($BJ$4&gt;0, U80/$BJ$4*100, 0)</f>
        <v>0</v>
      </c>
      <c r="V81" s="286" t="n">
        <f aca="false">IF($BJ$4&gt;0, V80/$BJ$4*100, 0)</f>
        <v>0</v>
      </c>
      <c r="W81" s="286" t="n">
        <f aca="false">IF($BJ$4&gt;0, W80/$BJ$4*100, 0)</f>
        <v>0</v>
      </c>
      <c r="X81" s="286" t="n">
        <f aca="false">IF($BJ$4&gt;0, X80/$BJ$4*100, 0)</f>
        <v>0</v>
      </c>
      <c r="Y81" s="286" t="n">
        <f aca="false">IF($BJ$4&gt;0, Y80/$BJ$4*100, 0)</f>
        <v>0</v>
      </c>
      <c r="Z81" s="286" t="n">
        <f aca="false">IF($BJ$4&gt;0, Z80/$BJ$4*100, 0)</f>
        <v>0</v>
      </c>
      <c r="AA81" s="286" t="n">
        <f aca="false">IF($BJ$4&gt;0, AA80/$BJ$4*100, 0)</f>
        <v>0</v>
      </c>
      <c r="AB81" s="286" t="n">
        <f aca="false">IF($BJ$4&gt;0, AB80/$BJ$4*100, 0)</f>
        <v>0</v>
      </c>
      <c r="AC81" s="286" t="n">
        <f aca="false">IF($BJ$4&gt;0, AC80/$BJ$4*100, 0)</f>
        <v>0</v>
      </c>
      <c r="AD81" s="286" t="n">
        <f aca="false">IF($BJ$4&gt;0, AD80/$BJ$4*100, 0)</f>
        <v>0</v>
      </c>
      <c r="AE81" s="286" t="n">
        <f aca="false">IF($BJ$4&gt;0, AE80/$BJ$4*100, 0)</f>
        <v>0</v>
      </c>
      <c r="AF81" s="286" t="n">
        <f aca="false">IF($BJ$4&gt;0, AF80/$BJ$4*100, 0)</f>
        <v>0</v>
      </c>
      <c r="AG81" s="286" t="n">
        <f aca="false">IF($BJ$4&gt;0, AG80/$BJ$4*100, 0)</f>
        <v>0</v>
      </c>
      <c r="AH81" s="286" t="n">
        <f aca="false">IF($BJ$4&gt;0, AH80/$BJ$4*100, 0)</f>
        <v>0</v>
      </c>
      <c r="AI81" s="286" t="n">
        <f aca="false">IF($BJ$4&gt;0, AI80/$BJ$4*100, 0)</f>
        <v>0</v>
      </c>
      <c r="AJ81" s="286" t="n">
        <f aca="false">IF($BJ$4&gt;0, AJ80/$BJ$4*100, 0)</f>
        <v>0</v>
      </c>
      <c r="AK81" s="286" t="n">
        <f aca="false">IF($BJ$4&gt;0, AK80/$BJ$4*100, 0)</f>
        <v>0</v>
      </c>
      <c r="AL81" s="286" t="n">
        <f aca="false">IF($BJ$4&gt;0, AL80/$BJ$4*100, 0)</f>
        <v>0</v>
      </c>
      <c r="AM81" s="286" t="n">
        <f aca="false">IF($BJ$4&gt;0, AM80/$BJ$4*100, 0)</f>
        <v>0</v>
      </c>
      <c r="AN81" s="286" t="n">
        <f aca="false">IF($BJ$4&gt;0, AN80/$BJ$4*100, 0)</f>
        <v>0</v>
      </c>
      <c r="AO81" s="286" t="n">
        <f aca="false">IF($BJ$4&gt;0, AO80/$BJ$4*100, 0)</f>
        <v>0</v>
      </c>
      <c r="AP81" s="286" t="n">
        <f aca="false">IF($BJ$4&gt;0, AP80/$BJ$4*100, 0)</f>
        <v>0</v>
      </c>
      <c r="AQ81" s="286" t="n">
        <f aca="false">IF($BJ$4&gt;0, AQ80/$BJ$4*100, 0)</f>
        <v>0</v>
      </c>
      <c r="AR81" s="286" t="n">
        <f aca="false">IF($BJ$4&gt;0, AR80/$BJ$4*100, 0)</f>
        <v>0</v>
      </c>
      <c r="AS81" s="286" t="n">
        <f aca="false">IF($BJ$4&gt;0, AS80/$BJ$4*100, 0)</f>
        <v>0</v>
      </c>
      <c r="AT81" s="286" t="n">
        <f aca="false">IF($BJ$4&gt;0, AT80/$BJ$4*100, 0)</f>
        <v>0</v>
      </c>
      <c r="AU81" s="286" t="n">
        <f aca="false">IF($BJ$4&gt;0, AU80/$BJ$4*100, 0)</f>
        <v>0</v>
      </c>
      <c r="AV81" s="286" t="n">
        <f aca="false">IF($BJ$4&gt;0, AV80/$BJ$4*100, 0)</f>
        <v>0</v>
      </c>
      <c r="AW81" s="286" t="n">
        <f aca="false">IF($BJ$4&gt;0, AW80/$BJ$4*100, 0)</f>
        <v>0</v>
      </c>
      <c r="AX81" s="286" t="n">
        <f aca="false">IF($BJ$4&gt;0, AX80/$BJ$4*100, 0)</f>
        <v>0</v>
      </c>
      <c r="AY81" s="286" t="n">
        <f aca="false">IF($BJ$4&gt;0, AY80/$BJ$4*100, 0)</f>
        <v>0</v>
      </c>
      <c r="AZ81" s="286" t="n">
        <f aca="false">IF($BJ$4&gt;0, AZ80/$BJ$4*100, 0)</f>
        <v>0</v>
      </c>
      <c r="BA81" s="286" t="n">
        <f aca="false">IF($BJ$4&gt;0, BA80/$BJ$4*100, 0)</f>
        <v>0</v>
      </c>
      <c r="BB81" s="286" t="n">
        <f aca="false">IF($BJ$4&gt;0, BB80/$BJ$4*100, 0)</f>
        <v>0</v>
      </c>
      <c r="BC81" s="286" t="n">
        <f aca="false">IF($BJ$4&gt;0, BC80/$BJ$4*100, 0)</f>
        <v>0</v>
      </c>
      <c r="BD81" s="286" t="n">
        <f aca="false">IF($BJ$4&gt;0, BD80/$BJ$4*100, 0)</f>
        <v>0</v>
      </c>
      <c r="BE81" s="286" t="n">
        <f aca="false">IF($BJ$4&gt;0, BE80/$BJ$4*100, 0)</f>
        <v>0</v>
      </c>
      <c r="BF81" s="286" t="n">
        <f aca="false">IF($BJ$4&gt;0, BF80/$BJ$4*100, 0)</f>
        <v>0</v>
      </c>
      <c r="BG81" s="286" t="n">
        <f aca="false">IF($BJ$4&gt;0, BG80/$BJ$4*100, 0)</f>
        <v>0</v>
      </c>
      <c r="BH81" s="286" t="n">
        <f aca="false">IF($BJ$4&gt;0, BH80/$BJ$4*100, 0)</f>
        <v>0</v>
      </c>
      <c r="BI81" s="286" t="n">
        <f aca="false">IF($BJ$4&gt;0, BI80/$BJ$4*100, 0)</f>
        <v>0</v>
      </c>
      <c r="BJ81" s="286" t="n">
        <f aca="false">IF($BJ$4&gt;0, BJ80/$BJ$4*100, 0)</f>
        <v>0</v>
      </c>
      <c r="BK81" s="286" t="n">
        <f aca="false">IF($BJ$4&gt;0, BK80/$BJ$4*100, 0)</f>
        <v>0</v>
      </c>
      <c r="BL81" s="286" t="n">
        <f aca="false">IF($BJ$4&gt;0, BL80/$BJ$4*100, 0)</f>
        <v>0</v>
      </c>
      <c r="BM81" s="286"/>
      <c r="BN81" s="277"/>
    </row>
    <row r="82" customFormat="false" ht="21.75" hidden="false" customHeight="true" outlineLevel="0" collapsed="false">
      <c r="A82" s="256"/>
      <c r="B82" s="256"/>
      <c r="C82" s="256"/>
      <c r="D82" s="256"/>
      <c r="E82" s="256"/>
      <c r="F82" s="256"/>
      <c r="G82" s="256"/>
      <c r="H82" s="256"/>
      <c r="I82" s="256"/>
      <c r="J82" s="256"/>
      <c r="K82" s="256"/>
      <c r="L82" s="287"/>
      <c r="M82" s="287"/>
      <c r="N82" s="287"/>
      <c r="O82" s="287"/>
      <c r="P82" s="287"/>
      <c r="Q82" s="287"/>
      <c r="R82" s="287"/>
      <c r="S82" s="287"/>
      <c r="T82" s="287"/>
      <c r="U82" s="287"/>
      <c r="V82" s="287"/>
      <c r="W82" s="287"/>
      <c r="X82" s="256"/>
      <c r="Y82" s="256"/>
      <c r="Z82" s="256"/>
      <c r="AA82" s="287"/>
      <c r="AB82" s="287"/>
      <c r="AC82" s="287"/>
      <c r="AD82" s="287"/>
      <c r="AE82" s="287"/>
      <c r="AF82" s="287"/>
      <c r="AG82" s="287"/>
      <c r="AH82" s="287"/>
      <c r="AI82" s="256"/>
      <c r="AJ82" s="256"/>
      <c r="AK82" s="256"/>
      <c r="AL82" s="256"/>
      <c r="AM82" s="256"/>
      <c r="AN82" s="256"/>
      <c r="AO82" s="256"/>
      <c r="AP82" s="256"/>
      <c r="AQ82" s="256"/>
      <c r="AR82" s="256"/>
      <c r="AS82" s="287"/>
      <c r="AT82" s="287"/>
      <c r="AU82" s="287"/>
      <c r="AV82" s="287"/>
      <c r="AW82" s="287"/>
      <c r="AX82" s="256"/>
      <c r="AY82" s="256"/>
      <c r="AZ82" s="256"/>
      <c r="BA82" s="256"/>
      <c r="BB82" s="256"/>
      <c r="BC82" s="256"/>
      <c r="BD82" s="256"/>
      <c r="BE82" s="256"/>
      <c r="BF82" s="256"/>
      <c r="BG82" s="256"/>
      <c r="BH82" s="256"/>
      <c r="BI82" s="256"/>
      <c r="BJ82" s="256"/>
      <c r="BK82" s="256"/>
      <c r="BL82" s="256"/>
      <c r="BM82" s="256"/>
      <c r="BN82" s="256"/>
    </row>
    <row r="83" customFormat="false" ht="12.75" hidden="false" customHeight="false" outlineLevel="0" collapsed="false">
      <c r="A83" s="256"/>
      <c r="B83" s="287"/>
      <c r="C83" s="287"/>
      <c r="D83" s="287"/>
      <c r="E83" s="288"/>
      <c r="F83" s="87" t="str">
        <f aca="false">AF4</f>
        <v>Mr. D. S. Gaikwad </v>
      </c>
      <c r="G83" s="87"/>
      <c r="H83" s="87"/>
      <c r="I83" s="87"/>
      <c r="J83" s="87"/>
      <c r="K83" s="87"/>
      <c r="L83" s="87"/>
      <c r="M83" s="87"/>
      <c r="N83" s="87"/>
      <c r="O83" s="87"/>
      <c r="P83" s="87"/>
      <c r="Q83" s="87"/>
      <c r="R83" s="87"/>
      <c r="S83" s="87"/>
      <c r="T83" s="87"/>
      <c r="U83" s="87"/>
      <c r="V83" s="87"/>
      <c r="W83" s="87"/>
      <c r="X83" s="87"/>
      <c r="Y83" s="73"/>
      <c r="Z83" s="165" t="s">
        <v>57</v>
      </c>
      <c r="AA83" s="165"/>
      <c r="AB83" s="165"/>
      <c r="AC83" s="165"/>
      <c r="AD83" s="165"/>
      <c r="AE83" s="165"/>
      <c r="AF83" s="165"/>
      <c r="AG83" s="165"/>
      <c r="AH83" s="165"/>
      <c r="AI83" s="165"/>
      <c r="AJ83" s="165"/>
      <c r="AK83" s="165"/>
      <c r="AL83" s="165"/>
      <c r="AM83" s="165"/>
      <c r="AN83" s="165"/>
      <c r="AO83" s="165"/>
      <c r="AP83" s="165"/>
      <c r="AQ83" s="165"/>
      <c r="AR83" s="165" t="s">
        <v>58</v>
      </c>
      <c r="AS83" s="165"/>
      <c r="AT83" s="165"/>
      <c r="AU83" s="165"/>
      <c r="AV83" s="165"/>
      <c r="AW83" s="165"/>
      <c r="AX83" s="165"/>
      <c r="AY83" s="165"/>
      <c r="AZ83" s="165"/>
      <c r="BA83" s="165"/>
      <c r="BB83" s="165"/>
      <c r="BC83" s="165"/>
      <c r="BD83" s="165"/>
      <c r="BE83" s="165"/>
      <c r="BF83" s="165"/>
      <c r="BG83" s="165"/>
      <c r="BH83" s="165"/>
      <c r="BI83" s="73"/>
      <c r="BJ83" s="87" t="str">
        <f aca="false">Data!L18</f>
        <v>Dr. R. S. Bichkar</v>
      </c>
      <c r="BK83" s="87"/>
      <c r="BL83" s="87"/>
      <c r="BM83" s="87"/>
      <c r="BN83" s="256"/>
    </row>
    <row r="84" customFormat="false" ht="12" hidden="false" customHeight="true" outlineLevel="0" collapsed="false">
      <c r="A84" s="256"/>
      <c r="B84" s="287"/>
      <c r="C84" s="287"/>
      <c r="D84" s="287"/>
      <c r="E84" s="288"/>
      <c r="F84" s="170" t="s">
        <v>59</v>
      </c>
      <c r="G84" s="170"/>
      <c r="H84" s="170"/>
      <c r="I84" s="170"/>
      <c r="J84" s="170"/>
      <c r="K84" s="170"/>
      <c r="L84" s="170"/>
      <c r="M84" s="170"/>
      <c r="N84" s="170"/>
      <c r="O84" s="170"/>
      <c r="P84" s="170"/>
      <c r="Q84" s="170"/>
      <c r="R84" s="170"/>
      <c r="S84" s="170"/>
      <c r="T84" s="170"/>
      <c r="U84" s="170"/>
      <c r="V84" s="170"/>
      <c r="W84" s="170"/>
      <c r="X84" s="170"/>
      <c r="Y84" s="73"/>
      <c r="Z84" s="170" t="s">
        <v>60</v>
      </c>
      <c r="AA84" s="170"/>
      <c r="AB84" s="170"/>
      <c r="AC84" s="170"/>
      <c r="AD84" s="170"/>
      <c r="AE84" s="170"/>
      <c r="AF84" s="170"/>
      <c r="AG84" s="170"/>
      <c r="AH84" s="170"/>
      <c r="AI84" s="170"/>
      <c r="AJ84" s="170"/>
      <c r="AK84" s="170"/>
      <c r="AL84" s="170"/>
      <c r="AM84" s="170"/>
      <c r="AN84" s="170"/>
      <c r="AO84" s="170"/>
      <c r="AP84" s="170"/>
      <c r="AQ84" s="170"/>
      <c r="AR84" s="170" t="s">
        <v>20</v>
      </c>
      <c r="AS84" s="170"/>
      <c r="AT84" s="170"/>
      <c r="AU84" s="170"/>
      <c r="AV84" s="170"/>
      <c r="AW84" s="170"/>
      <c r="AX84" s="170"/>
      <c r="AY84" s="170"/>
      <c r="AZ84" s="170"/>
      <c r="BA84" s="170"/>
      <c r="BB84" s="170"/>
      <c r="BC84" s="170"/>
      <c r="BD84" s="170"/>
      <c r="BE84" s="170"/>
      <c r="BF84" s="170"/>
      <c r="BG84" s="170"/>
      <c r="BH84" s="170"/>
      <c r="BI84" s="73"/>
      <c r="BJ84" s="170" t="s">
        <v>61</v>
      </c>
      <c r="BK84" s="170"/>
      <c r="BL84" s="170"/>
      <c r="BM84" s="170"/>
      <c r="BN84" s="256"/>
    </row>
  </sheetData>
  <mergeCells count="28">
    <mergeCell ref="E1:BN1"/>
    <mergeCell ref="E2:BN2"/>
    <mergeCell ref="E3:AE3"/>
    <mergeCell ref="AF3:AS3"/>
    <mergeCell ref="AW3:BA3"/>
    <mergeCell ref="BB3:BE3"/>
    <mergeCell ref="BF3:BI3"/>
    <mergeCell ref="BJ3:BL3"/>
    <mergeCell ref="E4:AE4"/>
    <mergeCell ref="AF4:AS4"/>
    <mergeCell ref="AW4:BA4"/>
    <mergeCell ref="BB4:BE4"/>
    <mergeCell ref="BF4:BI4"/>
    <mergeCell ref="BJ4:BL4"/>
    <mergeCell ref="BM4:BN4"/>
    <mergeCell ref="A6:A9"/>
    <mergeCell ref="B6:B9"/>
    <mergeCell ref="C6:C9"/>
    <mergeCell ref="BM6:BM8"/>
    <mergeCell ref="BN6:BN8"/>
    <mergeCell ref="F83:X83"/>
    <mergeCell ref="Z83:AQ83"/>
    <mergeCell ref="AR83:BH83"/>
    <mergeCell ref="BJ83:BM83"/>
    <mergeCell ref="F84:X84"/>
    <mergeCell ref="Z84:AQ84"/>
    <mergeCell ref="AR84:BH84"/>
    <mergeCell ref="BJ84:BM84"/>
  </mergeCells>
  <conditionalFormatting sqref="BN10:BN80">
    <cfRule type="expression" priority="2" aboveAverage="0" equalAverage="0" bottom="0" percent="0" rank="0" text="" dxfId="0">
      <formula>AND(C10&lt;&gt;"", BN10&lt;60)</formula>
    </cfRule>
  </conditionalFormatting>
  <conditionalFormatting sqref="BN10:BN80">
    <cfRule type="expression" priority="3" aboveAverage="0" equalAverage="0" bottom="0" percent="0" rank="0" text="" dxfId="1">
      <formula>AND(C10&lt;&gt;"", BN10&lt;75)</formula>
    </cfRule>
  </conditionalFormatting>
  <conditionalFormatting sqref="BN10:BN80">
    <cfRule type="expression" priority="4" aboveAverage="0" equalAverage="0" bottom="0" percent="0" rank="0" text="" dxfId="2">
      <formula>AND(C10&lt;&gt;"", BN10&lt;85)</formula>
    </cfRule>
  </conditionalFormatting>
  <conditionalFormatting sqref="BN10:BN80">
    <cfRule type="expression" priority="5" aboveAverage="0" equalAverage="0" bottom="0" percent="0" rank="0" text="" dxfId="3">
      <formula>AND(C10&lt;&gt;"", BN10&gt;=90)</formula>
    </cfRule>
  </conditionalFormatting>
  <conditionalFormatting sqref="BM10:BN80">
    <cfRule type="expression" priority="6" aboveAverage="0" equalAverage="0" bottom="0" percent="0" rank="0" text="" dxfId="4">
      <formula>(C10="")</formula>
    </cfRule>
  </conditionalFormatting>
  <conditionalFormatting sqref="E81:BL81">
    <cfRule type="expression" priority="7" aboveAverage="0" equalAverage="0" bottom="0" percent="0" rank="0" text="" dxfId="5">
      <formula>AND(E9&gt;0,E81&lt;60)</formula>
    </cfRule>
  </conditionalFormatting>
  <conditionalFormatting sqref="E81:BL81">
    <cfRule type="expression" priority="8" aboveAverage="0" equalAverage="0" bottom="0" percent="0" rank="0" text="" dxfId="6">
      <formula>AND(E9&gt;0,E81&lt;75)</formula>
    </cfRule>
  </conditionalFormatting>
  <conditionalFormatting sqref="E81:BL81">
    <cfRule type="expression" priority="9" aboveAverage="0" equalAverage="0" bottom="0" percent="0" rank="0" text="" dxfId="7">
      <formula>AND(E9&gt;0,E81&lt;90)</formula>
    </cfRule>
  </conditionalFormatting>
  <conditionalFormatting sqref="E81:BL81">
    <cfRule type="cellIs" priority="10" operator="greaterThanOrEqual" aboveAverage="0" equalAverage="0" bottom="0" percent="0" rank="0" text="" dxfId="8">
      <formula>AND(E9&gt;0,E81&gt;=90)</formula>
    </cfRule>
  </conditionalFormatting>
  <conditionalFormatting sqref="E80:BL81">
    <cfRule type="expression" priority="11" aboveAverage="0" equalAverage="0" bottom="0" percent="0" rank="0" text="" dxfId="9">
      <formula>(E9="")</formula>
    </cfRule>
  </conditionalFormatting>
  <dataValidations count="3">
    <dataValidation allowBlank="true" operator="between" showDropDown="false" showErrorMessage="true" showInputMessage="false" sqref="BM4" type="list">
      <formula1>"THEORY,ACTIVITY,SELF STUDY"</formula1>
      <formula2>0</formula2>
    </dataValidation>
    <dataValidation allowBlank="true" operator="between" showDropDown="true" showErrorMessage="true" showInputMessage="false" sqref="E10:BL79" type="custom">
      <formula1>AND($C10&lt;&gt; "", E10="P")</formula1>
      <formula2>0</formula2>
    </dataValidation>
    <dataValidation allowBlank="true" operator="between" showDropDown="true" showErrorMessage="true" showInputMessage="false" sqref="E9:BL9" type="list">
      <formula1>"1,2"</formula1>
      <formula2>0</formula2>
    </dataValidation>
  </dataValidations>
  <printOptions headings="false" gridLines="false" gridLinesSet="true" horizontalCentered="false" verticalCentered="false"/>
  <pageMargins left="0.109722222222222" right="0.00972222222222222" top="0.170138888888889" bottom="0.170138888888889"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true"/>
  </sheetPr>
  <dimension ref="A1:P10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3.57"/>
    <col collapsed="false" customWidth="true" hidden="false" outlineLevel="0" max="2" min="2" style="0" width="9.14"/>
    <col collapsed="false" customWidth="true" hidden="false" outlineLevel="0" max="3" min="3" style="0" width="6.57"/>
    <col collapsed="false" customWidth="true" hidden="false" outlineLevel="0" max="4" min="4" style="0" width="11.42"/>
    <col collapsed="false" customWidth="true" hidden="false" outlineLevel="0" max="5" min="5" style="0" width="11.71"/>
    <col collapsed="false" customWidth="true" hidden="false" outlineLevel="0" max="15" min="6" style="0" width="12.71"/>
    <col collapsed="false" customWidth="true" hidden="false" outlineLevel="0" max="16" min="16" style="0" width="5.7"/>
    <col collapsed="false" customWidth="true" hidden="false" outlineLevel="0" max="1025" min="17" style="0" width="14.43"/>
  </cols>
  <sheetData>
    <row r="1" customFormat="false" ht="15.75" hidden="false" customHeight="false" outlineLevel="0" collapsed="false">
      <c r="A1" s="5"/>
      <c r="B1" s="175"/>
      <c r="C1" s="289" t="str">
        <f aca="false">Data!A1</f>
        <v>Vidya Pratishthan’s Kamalnayan Bajaj Institute of Engineering &amp; Technology, Baramati</v>
      </c>
      <c r="D1" s="289"/>
      <c r="E1" s="289"/>
      <c r="F1" s="289"/>
      <c r="G1" s="289"/>
      <c r="H1" s="289"/>
      <c r="I1" s="289"/>
      <c r="J1" s="289"/>
      <c r="K1" s="289"/>
      <c r="L1" s="289"/>
      <c r="M1" s="289"/>
      <c r="N1" s="289"/>
      <c r="O1" s="289"/>
      <c r="P1" s="289"/>
    </row>
    <row r="2" customFormat="false" ht="23.25" hidden="false" customHeight="true" outlineLevel="0" collapsed="false">
      <c r="A2" s="5"/>
      <c r="B2" s="175"/>
      <c r="C2" s="290" t="str">
        <f aca="false">IF(P4="THEORY", "THEORY ATTENDANCE SHEET",  IF(P4="ACTIVITY", "ACTIVITY ATTENDANCE SHEET",  IF(P4="SELF STUDY", "SELF STUDY ATTENDANCE SHEET", "STUDENT LIST"))) &amp; " (" &amp; Data!B19 &amp; " Semester, " &amp; Data!B18 &amp; ")"</f>
        <v>THEORY ATTENDANCE SHEET (First Semester, 2019-20)</v>
      </c>
      <c r="D2" s="290"/>
      <c r="E2" s="290"/>
      <c r="F2" s="290"/>
      <c r="G2" s="290"/>
      <c r="H2" s="290"/>
      <c r="I2" s="290"/>
      <c r="J2" s="290"/>
      <c r="K2" s="290"/>
      <c r="L2" s="290"/>
      <c r="M2" s="290"/>
      <c r="N2" s="290"/>
      <c r="O2" s="290"/>
      <c r="P2" s="290"/>
    </row>
    <row r="3" customFormat="false" ht="18.75" hidden="false" customHeight="true" outlineLevel="0" collapsed="false">
      <c r="A3" s="224"/>
      <c r="B3" s="291" t="str">
        <f aca="false">IF(P$4="THEORY", "Subject:", IF(P$4="ACTIVITY", "Activity:", ""))</f>
        <v>Subject:</v>
      </c>
      <c r="C3" s="291"/>
      <c r="D3" s="291"/>
      <c r="E3" s="173"/>
      <c r="F3" s="292"/>
      <c r="H3" s="173" t="str">
        <f aca="false">IF(OR(P$4="THEORY", $P4="ACTIVITY"), "Teacher:", "")</f>
        <v>Teacher:</v>
      </c>
      <c r="I3" s="224"/>
      <c r="L3" s="226" t="s">
        <v>64</v>
      </c>
      <c r="M3" s="226" t="s">
        <v>3</v>
      </c>
      <c r="N3" s="226" t="s">
        <v>5</v>
      </c>
      <c r="O3" s="226" t="s">
        <v>207</v>
      </c>
      <c r="P3" s="293" t="s">
        <v>358</v>
      </c>
    </row>
    <row r="4" customFormat="false" ht="15" hidden="false" customHeight="false" outlineLevel="0" collapsed="false">
      <c r="A4" s="5"/>
      <c r="B4" s="294" t="s">
        <v>359</v>
      </c>
      <c r="C4" s="294"/>
      <c r="D4" s="294"/>
      <c r="E4" s="294"/>
      <c r="F4" s="294"/>
      <c r="G4" s="294"/>
      <c r="H4" s="177" t="str">
        <f aca="false">IF(P$4="THEORY", Data!B8, "")</f>
        <v>Mr. D. S. Gaikwad </v>
      </c>
      <c r="I4" s="177"/>
      <c r="J4" s="177"/>
      <c r="L4" s="177" t="str">
        <f aca="false">Data!B5</f>
        <v>IT</v>
      </c>
      <c r="M4" s="177" t="str">
        <f aca="false">Data!B6</f>
        <v>SE</v>
      </c>
      <c r="N4" s="295" t="n">
        <f aca="false">Data!B7</f>
        <v>0</v>
      </c>
      <c r="O4" s="177" t="n">
        <v>80</v>
      </c>
      <c r="P4" s="296" t="s">
        <v>208</v>
      </c>
    </row>
    <row r="5" customFormat="false" ht="17.25" hidden="false" customHeight="true" outlineLevel="0" collapsed="false">
      <c r="A5" s="73"/>
      <c r="B5" s="73"/>
      <c r="C5" s="60"/>
      <c r="D5" s="226"/>
      <c r="E5" s="175"/>
      <c r="F5" s="175"/>
      <c r="G5" s="175"/>
      <c r="H5" s="175"/>
      <c r="I5" s="194"/>
      <c r="J5" s="194"/>
      <c r="K5" s="194"/>
      <c r="L5" s="175"/>
      <c r="M5" s="175"/>
      <c r="N5" s="175"/>
      <c r="O5" s="175"/>
      <c r="P5" s="175"/>
    </row>
    <row r="6" customFormat="false" ht="18" hidden="false" customHeight="true" outlineLevel="0" collapsed="false">
      <c r="A6" s="84" t="s">
        <v>105</v>
      </c>
      <c r="B6" s="297" t="s">
        <v>209</v>
      </c>
      <c r="C6" s="298" t="s">
        <v>210</v>
      </c>
      <c r="D6" s="298"/>
      <c r="E6" s="299" t="s">
        <v>360</v>
      </c>
      <c r="F6" s="84"/>
      <c r="G6" s="84"/>
      <c r="H6" s="84"/>
      <c r="I6" s="84"/>
      <c r="J6" s="84"/>
      <c r="K6" s="84"/>
      <c r="L6" s="84"/>
      <c r="M6" s="195"/>
      <c r="N6" s="195"/>
      <c r="O6" s="195"/>
      <c r="P6" s="195" t="s">
        <v>361</v>
      </c>
    </row>
    <row r="7" customFormat="false" ht="18" hidden="false" customHeight="true" outlineLevel="0" collapsed="false">
      <c r="A7" s="84"/>
      <c r="B7" s="84"/>
      <c r="C7" s="298"/>
      <c r="D7" s="298"/>
      <c r="E7" s="300" t="s">
        <v>362</v>
      </c>
      <c r="F7" s="84"/>
      <c r="G7" s="84"/>
      <c r="H7" s="84"/>
      <c r="I7" s="84"/>
      <c r="J7" s="84"/>
      <c r="K7" s="84"/>
      <c r="L7" s="84"/>
      <c r="M7" s="195"/>
      <c r="N7" s="195"/>
      <c r="O7" s="195"/>
      <c r="P7" s="195"/>
    </row>
    <row r="8" customFormat="false" ht="18" hidden="false" customHeight="true" outlineLevel="0" collapsed="false">
      <c r="A8" s="84"/>
      <c r="B8" s="84"/>
      <c r="C8" s="298"/>
      <c r="D8" s="298"/>
      <c r="E8" s="301" t="s">
        <v>363</v>
      </c>
      <c r="F8" s="84"/>
      <c r="G8" s="84"/>
      <c r="H8" s="84"/>
      <c r="I8" s="84"/>
      <c r="J8" s="84"/>
      <c r="K8" s="84"/>
      <c r="L8" s="84"/>
      <c r="M8" s="195"/>
      <c r="N8" s="195"/>
      <c r="O8" s="195"/>
      <c r="P8" s="195"/>
    </row>
    <row r="9" customFormat="false" ht="18" hidden="false" customHeight="true" outlineLevel="0" collapsed="false">
      <c r="A9" s="84"/>
      <c r="B9" s="84"/>
      <c r="C9" s="298"/>
      <c r="D9" s="298"/>
      <c r="E9" s="301" t="s">
        <v>364</v>
      </c>
      <c r="F9" s="84"/>
      <c r="G9" s="84"/>
      <c r="H9" s="84"/>
      <c r="I9" s="84"/>
      <c r="J9" s="84"/>
      <c r="K9" s="84"/>
      <c r="L9" s="84"/>
      <c r="M9" s="195"/>
      <c r="N9" s="195"/>
      <c r="O9" s="195"/>
      <c r="P9" s="195"/>
    </row>
    <row r="10" customFormat="false" ht="18" hidden="false" customHeight="true" outlineLevel="0" collapsed="false">
      <c r="A10" s="84"/>
      <c r="B10" s="297"/>
      <c r="C10" s="298"/>
      <c r="D10" s="298"/>
      <c r="E10" s="301" t="s">
        <v>365</v>
      </c>
      <c r="F10" s="84"/>
      <c r="G10" s="84"/>
      <c r="H10" s="84"/>
      <c r="I10" s="84"/>
      <c r="J10" s="84"/>
      <c r="K10" s="84"/>
      <c r="L10" s="84"/>
      <c r="M10" s="195"/>
      <c r="N10" s="195"/>
      <c r="O10" s="195"/>
      <c r="P10" s="195"/>
    </row>
    <row r="11" customFormat="false" ht="30" hidden="false" customHeight="true" outlineLevel="0" collapsed="false">
      <c r="A11" s="302" t="n">
        <v>1</v>
      </c>
      <c r="B11" s="303" t="s">
        <v>216</v>
      </c>
      <c r="C11" s="304" t="s">
        <v>217</v>
      </c>
      <c r="D11" s="304" t="s">
        <v>217</v>
      </c>
      <c r="E11" s="304" t="s">
        <v>217</v>
      </c>
      <c r="F11" s="305"/>
      <c r="G11" s="306"/>
      <c r="H11" s="306"/>
      <c r="I11" s="239"/>
      <c r="J11" s="80"/>
      <c r="K11" s="239"/>
      <c r="L11" s="80"/>
      <c r="M11" s="239"/>
      <c r="N11" s="239"/>
      <c r="O11" s="239"/>
      <c r="P11" s="239"/>
    </row>
    <row r="12" customFormat="false" ht="30" hidden="false" customHeight="true" outlineLevel="0" collapsed="false">
      <c r="A12" s="307" t="n">
        <v>2</v>
      </c>
      <c r="B12" s="308" t="s">
        <v>218</v>
      </c>
      <c r="C12" s="309" t="s">
        <v>219</v>
      </c>
      <c r="D12" s="309" t="s">
        <v>219</v>
      </c>
      <c r="E12" s="309" t="s">
        <v>219</v>
      </c>
      <c r="F12" s="310"/>
      <c r="G12" s="311"/>
      <c r="H12" s="311"/>
      <c r="I12" s="312"/>
      <c r="J12" s="311"/>
      <c r="K12" s="312"/>
      <c r="L12" s="311"/>
      <c r="M12" s="312"/>
      <c r="N12" s="312"/>
      <c r="O12" s="312"/>
      <c r="P12" s="312"/>
    </row>
    <row r="13" customFormat="false" ht="30" hidden="false" customHeight="true" outlineLevel="0" collapsed="false">
      <c r="A13" s="307" t="n">
        <v>3</v>
      </c>
      <c r="B13" s="308" t="s">
        <v>220</v>
      </c>
      <c r="C13" s="309" t="s">
        <v>221</v>
      </c>
      <c r="D13" s="309" t="s">
        <v>221</v>
      </c>
      <c r="E13" s="309" t="s">
        <v>221</v>
      </c>
      <c r="F13" s="310"/>
      <c r="G13" s="311"/>
      <c r="H13" s="311"/>
      <c r="I13" s="312"/>
      <c r="J13" s="311"/>
      <c r="K13" s="312"/>
      <c r="L13" s="311"/>
      <c r="M13" s="312"/>
      <c r="N13" s="312"/>
      <c r="O13" s="312"/>
      <c r="P13" s="312"/>
    </row>
    <row r="14" customFormat="false" ht="30" hidden="false" customHeight="true" outlineLevel="0" collapsed="false">
      <c r="A14" s="302" t="n">
        <v>4</v>
      </c>
      <c r="B14" s="303" t="s">
        <v>222</v>
      </c>
      <c r="C14" s="304" t="s">
        <v>223</v>
      </c>
      <c r="D14" s="304" t="s">
        <v>223</v>
      </c>
      <c r="E14" s="304" t="s">
        <v>223</v>
      </c>
      <c r="F14" s="313"/>
      <c r="G14" s="80"/>
      <c r="H14" s="80"/>
      <c r="I14" s="239"/>
      <c r="J14" s="80"/>
      <c r="K14" s="239"/>
      <c r="L14" s="80"/>
      <c r="M14" s="239"/>
      <c r="N14" s="239"/>
      <c r="O14" s="239"/>
      <c r="P14" s="239"/>
    </row>
    <row r="15" customFormat="false" ht="30" hidden="false" customHeight="true" outlineLevel="0" collapsed="false">
      <c r="A15" s="307" t="n">
        <v>5</v>
      </c>
      <c r="B15" s="308" t="s">
        <v>224</v>
      </c>
      <c r="C15" s="309" t="s">
        <v>225</v>
      </c>
      <c r="D15" s="309" t="s">
        <v>225</v>
      </c>
      <c r="E15" s="309" t="s">
        <v>225</v>
      </c>
      <c r="F15" s="310"/>
      <c r="G15" s="311"/>
      <c r="H15" s="311"/>
      <c r="I15" s="312"/>
      <c r="J15" s="311"/>
      <c r="K15" s="312"/>
      <c r="L15" s="311"/>
      <c r="M15" s="312"/>
      <c r="N15" s="312"/>
      <c r="O15" s="312"/>
      <c r="P15" s="312"/>
    </row>
    <row r="16" customFormat="false" ht="30" hidden="false" customHeight="true" outlineLevel="0" collapsed="false">
      <c r="A16" s="307" t="n">
        <v>6</v>
      </c>
      <c r="B16" s="308" t="s">
        <v>226</v>
      </c>
      <c r="C16" s="309" t="s">
        <v>227</v>
      </c>
      <c r="D16" s="309" t="s">
        <v>227</v>
      </c>
      <c r="E16" s="309" t="s">
        <v>227</v>
      </c>
      <c r="F16" s="310"/>
      <c r="G16" s="311"/>
      <c r="H16" s="311"/>
      <c r="I16" s="312"/>
      <c r="J16" s="311"/>
      <c r="K16" s="312"/>
      <c r="L16" s="311"/>
      <c r="M16" s="312"/>
      <c r="N16" s="312"/>
      <c r="O16" s="312"/>
      <c r="P16" s="312"/>
    </row>
    <row r="17" customFormat="false" ht="30" hidden="false" customHeight="true" outlineLevel="0" collapsed="false">
      <c r="A17" s="307" t="n">
        <v>7</v>
      </c>
      <c r="B17" s="308" t="s">
        <v>228</v>
      </c>
      <c r="C17" s="309" t="s">
        <v>229</v>
      </c>
      <c r="D17" s="309" t="s">
        <v>229</v>
      </c>
      <c r="E17" s="309" t="s">
        <v>229</v>
      </c>
      <c r="F17" s="310"/>
      <c r="G17" s="311"/>
      <c r="H17" s="311"/>
      <c r="I17" s="312"/>
      <c r="J17" s="311"/>
      <c r="K17" s="312"/>
      <c r="L17" s="311"/>
      <c r="M17" s="312"/>
      <c r="N17" s="312"/>
      <c r="O17" s="312"/>
      <c r="P17" s="312"/>
    </row>
    <row r="18" customFormat="false" ht="30" hidden="false" customHeight="true" outlineLevel="0" collapsed="false">
      <c r="A18" s="302" t="n">
        <v>8</v>
      </c>
      <c r="B18" s="303" t="s">
        <v>230</v>
      </c>
      <c r="C18" s="304" t="s">
        <v>231</v>
      </c>
      <c r="D18" s="304" t="s">
        <v>231</v>
      </c>
      <c r="E18" s="304" t="s">
        <v>231</v>
      </c>
      <c r="F18" s="313"/>
      <c r="G18" s="80"/>
      <c r="H18" s="80"/>
      <c r="I18" s="239"/>
      <c r="J18" s="80"/>
      <c r="K18" s="239"/>
      <c r="L18" s="80"/>
      <c r="M18" s="239"/>
      <c r="N18" s="239"/>
      <c r="O18" s="239"/>
      <c r="P18" s="239"/>
    </row>
    <row r="19" customFormat="false" ht="30" hidden="false" customHeight="true" outlineLevel="0" collapsed="false">
      <c r="A19" s="302" t="n">
        <v>9</v>
      </c>
      <c r="B19" s="303" t="s">
        <v>232</v>
      </c>
      <c r="C19" s="304" t="s">
        <v>233</v>
      </c>
      <c r="D19" s="304" t="s">
        <v>233</v>
      </c>
      <c r="E19" s="304" t="s">
        <v>233</v>
      </c>
      <c r="F19" s="313"/>
      <c r="G19" s="80"/>
      <c r="H19" s="80"/>
      <c r="I19" s="239"/>
      <c r="J19" s="80"/>
      <c r="K19" s="239"/>
      <c r="L19" s="80"/>
      <c r="M19" s="239"/>
      <c r="N19" s="239"/>
      <c r="O19" s="239"/>
      <c r="P19" s="239"/>
    </row>
    <row r="20" customFormat="false" ht="30" hidden="false" customHeight="true" outlineLevel="0" collapsed="false">
      <c r="A20" s="307" t="n">
        <v>10</v>
      </c>
      <c r="B20" s="308" t="s">
        <v>234</v>
      </c>
      <c r="C20" s="309" t="s">
        <v>235</v>
      </c>
      <c r="D20" s="309" t="s">
        <v>235</v>
      </c>
      <c r="E20" s="309" t="s">
        <v>235</v>
      </c>
      <c r="F20" s="310"/>
      <c r="G20" s="311"/>
      <c r="H20" s="311"/>
      <c r="I20" s="312"/>
      <c r="J20" s="311"/>
      <c r="K20" s="312"/>
      <c r="L20" s="311"/>
      <c r="M20" s="312"/>
      <c r="N20" s="312"/>
      <c r="O20" s="312"/>
      <c r="P20" s="312"/>
    </row>
    <row r="21" customFormat="false" ht="30" hidden="false" customHeight="true" outlineLevel="0" collapsed="false">
      <c r="A21" s="307" t="n">
        <v>11</v>
      </c>
      <c r="B21" s="308" t="s">
        <v>236</v>
      </c>
      <c r="C21" s="309" t="s">
        <v>237</v>
      </c>
      <c r="D21" s="309" t="s">
        <v>237</v>
      </c>
      <c r="E21" s="309" t="s">
        <v>237</v>
      </c>
      <c r="F21" s="310"/>
      <c r="G21" s="311"/>
      <c r="H21" s="311"/>
      <c r="I21" s="312"/>
      <c r="J21" s="311"/>
      <c r="K21" s="312"/>
      <c r="L21" s="311"/>
      <c r="M21" s="312"/>
      <c r="N21" s="312"/>
      <c r="O21" s="312"/>
      <c r="P21" s="312"/>
    </row>
    <row r="22" customFormat="false" ht="30" hidden="false" customHeight="true" outlineLevel="0" collapsed="false">
      <c r="A22" s="302" t="n">
        <v>12</v>
      </c>
      <c r="B22" s="303" t="s">
        <v>238</v>
      </c>
      <c r="C22" s="304" t="s">
        <v>239</v>
      </c>
      <c r="D22" s="304" t="s">
        <v>239</v>
      </c>
      <c r="E22" s="304" t="s">
        <v>239</v>
      </c>
      <c r="F22" s="313"/>
      <c r="G22" s="80"/>
      <c r="H22" s="80"/>
      <c r="I22" s="239"/>
      <c r="J22" s="80"/>
      <c r="K22" s="239"/>
      <c r="L22" s="80"/>
      <c r="M22" s="239"/>
      <c r="N22" s="239"/>
      <c r="O22" s="239"/>
      <c r="P22" s="239"/>
    </row>
    <row r="23" customFormat="false" ht="30" hidden="false" customHeight="true" outlineLevel="0" collapsed="false">
      <c r="A23" s="302" t="n">
        <v>13</v>
      </c>
      <c r="B23" s="303" t="s">
        <v>240</v>
      </c>
      <c r="C23" s="304" t="s">
        <v>241</v>
      </c>
      <c r="D23" s="304" t="s">
        <v>241</v>
      </c>
      <c r="E23" s="304" t="s">
        <v>241</v>
      </c>
      <c r="F23" s="313"/>
      <c r="G23" s="80"/>
      <c r="H23" s="80"/>
      <c r="I23" s="239"/>
      <c r="J23" s="80"/>
      <c r="K23" s="239"/>
      <c r="L23" s="80"/>
      <c r="M23" s="239"/>
      <c r="N23" s="239"/>
      <c r="O23" s="239"/>
      <c r="P23" s="239"/>
    </row>
    <row r="24" customFormat="false" ht="30" hidden="false" customHeight="true" outlineLevel="0" collapsed="false">
      <c r="A24" s="302" t="n">
        <v>14</v>
      </c>
      <c r="B24" s="303" t="s">
        <v>242</v>
      </c>
      <c r="C24" s="304" t="s">
        <v>243</v>
      </c>
      <c r="D24" s="304" t="s">
        <v>243</v>
      </c>
      <c r="E24" s="304" t="s">
        <v>243</v>
      </c>
      <c r="F24" s="313"/>
      <c r="G24" s="80"/>
      <c r="H24" s="80"/>
      <c r="I24" s="239"/>
      <c r="J24" s="80"/>
      <c r="K24" s="239"/>
      <c r="L24" s="80"/>
      <c r="M24" s="239"/>
      <c r="N24" s="239"/>
      <c r="O24" s="239"/>
      <c r="P24" s="239"/>
    </row>
    <row r="25" customFormat="false" ht="30" hidden="false" customHeight="true" outlineLevel="0" collapsed="false">
      <c r="A25" s="307" t="n">
        <v>15</v>
      </c>
      <c r="B25" s="308" t="s">
        <v>244</v>
      </c>
      <c r="C25" s="309" t="s">
        <v>245</v>
      </c>
      <c r="D25" s="309" t="s">
        <v>245</v>
      </c>
      <c r="E25" s="309" t="s">
        <v>245</v>
      </c>
      <c r="F25" s="310"/>
      <c r="G25" s="311"/>
      <c r="H25" s="311"/>
      <c r="I25" s="312"/>
      <c r="J25" s="311"/>
      <c r="K25" s="312"/>
      <c r="L25" s="311"/>
      <c r="M25" s="312"/>
      <c r="N25" s="312"/>
      <c r="O25" s="312"/>
      <c r="P25" s="312"/>
    </row>
    <row r="26" customFormat="false" ht="30" hidden="false" customHeight="true" outlineLevel="0" collapsed="false">
      <c r="A26" s="307" t="n">
        <v>16</v>
      </c>
      <c r="B26" s="308" t="s">
        <v>246</v>
      </c>
      <c r="C26" s="309" t="s">
        <v>247</v>
      </c>
      <c r="D26" s="309" t="s">
        <v>247</v>
      </c>
      <c r="E26" s="309" t="s">
        <v>247</v>
      </c>
      <c r="F26" s="310"/>
      <c r="G26" s="311"/>
      <c r="H26" s="311"/>
      <c r="I26" s="312"/>
      <c r="J26" s="311"/>
      <c r="K26" s="312"/>
      <c r="L26" s="311"/>
      <c r="M26" s="312"/>
      <c r="N26" s="312"/>
      <c r="O26" s="312"/>
      <c r="P26" s="312"/>
    </row>
    <row r="27" customFormat="false" ht="30" hidden="false" customHeight="true" outlineLevel="0" collapsed="false">
      <c r="A27" s="307" t="n">
        <v>17</v>
      </c>
      <c r="B27" s="308" t="s">
        <v>248</v>
      </c>
      <c r="C27" s="309" t="s">
        <v>249</v>
      </c>
      <c r="D27" s="309" t="s">
        <v>249</v>
      </c>
      <c r="E27" s="309" t="s">
        <v>249</v>
      </c>
      <c r="F27" s="310"/>
      <c r="G27" s="311"/>
      <c r="H27" s="311"/>
      <c r="I27" s="312"/>
      <c r="J27" s="311"/>
      <c r="K27" s="312"/>
      <c r="L27" s="311"/>
      <c r="M27" s="312"/>
      <c r="N27" s="312"/>
      <c r="O27" s="312"/>
      <c r="P27" s="312"/>
    </row>
    <row r="28" customFormat="false" ht="30" hidden="false" customHeight="true" outlineLevel="0" collapsed="false">
      <c r="A28" s="307" t="n">
        <v>18</v>
      </c>
      <c r="B28" s="308" t="s">
        <v>250</v>
      </c>
      <c r="C28" s="309" t="s">
        <v>251</v>
      </c>
      <c r="D28" s="309" t="s">
        <v>251</v>
      </c>
      <c r="E28" s="309" t="s">
        <v>251</v>
      </c>
      <c r="F28" s="310"/>
      <c r="G28" s="311"/>
      <c r="H28" s="311"/>
      <c r="I28" s="312"/>
      <c r="J28" s="311"/>
      <c r="K28" s="312"/>
      <c r="L28" s="311"/>
      <c r="M28" s="312"/>
      <c r="N28" s="312"/>
      <c r="O28" s="312"/>
      <c r="P28" s="312"/>
    </row>
    <row r="29" customFormat="false" ht="30" hidden="false" customHeight="true" outlineLevel="0" collapsed="false">
      <c r="A29" s="302" t="n">
        <v>19</v>
      </c>
      <c r="B29" s="303" t="s">
        <v>252</v>
      </c>
      <c r="C29" s="304" t="s">
        <v>253</v>
      </c>
      <c r="D29" s="304" t="s">
        <v>253</v>
      </c>
      <c r="E29" s="304" t="s">
        <v>253</v>
      </c>
      <c r="F29" s="313"/>
      <c r="G29" s="80"/>
      <c r="H29" s="80"/>
      <c r="I29" s="239"/>
      <c r="J29" s="80"/>
      <c r="K29" s="239"/>
      <c r="L29" s="80"/>
      <c r="M29" s="239"/>
      <c r="N29" s="239"/>
      <c r="O29" s="239"/>
      <c r="P29" s="239"/>
    </row>
    <row r="30" customFormat="false" ht="30" hidden="false" customHeight="true" outlineLevel="0" collapsed="false">
      <c r="A30" s="302" t="n">
        <v>20</v>
      </c>
      <c r="B30" s="303" t="s">
        <v>254</v>
      </c>
      <c r="C30" s="304" t="s">
        <v>255</v>
      </c>
      <c r="D30" s="304" t="s">
        <v>255</v>
      </c>
      <c r="E30" s="304" t="s">
        <v>255</v>
      </c>
      <c r="F30" s="313"/>
      <c r="G30" s="80"/>
      <c r="H30" s="80"/>
      <c r="I30" s="239"/>
      <c r="J30" s="80"/>
      <c r="K30" s="239"/>
      <c r="L30" s="80"/>
      <c r="M30" s="239"/>
      <c r="N30" s="239"/>
      <c r="O30" s="239"/>
      <c r="P30" s="239"/>
    </row>
    <row r="31" customFormat="false" ht="30" hidden="false" customHeight="true" outlineLevel="0" collapsed="false">
      <c r="A31" s="302" t="n">
        <v>21</v>
      </c>
      <c r="B31" s="303" t="s">
        <v>256</v>
      </c>
      <c r="C31" s="304" t="s">
        <v>257</v>
      </c>
      <c r="D31" s="304" t="s">
        <v>257</v>
      </c>
      <c r="E31" s="304" t="s">
        <v>257</v>
      </c>
      <c r="F31" s="313"/>
      <c r="G31" s="80"/>
      <c r="H31" s="80"/>
      <c r="I31" s="239"/>
      <c r="J31" s="80"/>
      <c r="K31" s="239"/>
      <c r="L31" s="80"/>
      <c r="M31" s="239"/>
      <c r="N31" s="239"/>
      <c r="O31" s="239"/>
      <c r="P31" s="239"/>
    </row>
    <row r="32" customFormat="false" ht="30" hidden="false" customHeight="true" outlineLevel="0" collapsed="false">
      <c r="A32" s="302" t="n">
        <v>22</v>
      </c>
      <c r="B32" s="303" t="s">
        <v>258</v>
      </c>
      <c r="C32" s="304" t="s">
        <v>259</v>
      </c>
      <c r="D32" s="304" t="s">
        <v>259</v>
      </c>
      <c r="E32" s="304" t="s">
        <v>259</v>
      </c>
      <c r="F32" s="313"/>
      <c r="G32" s="80"/>
      <c r="H32" s="80"/>
      <c r="I32" s="239"/>
      <c r="J32" s="80"/>
      <c r="K32" s="239"/>
      <c r="L32" s="80"/>
      <c r="M32" s="239"/>
      <c r="N32" s="239"/>
      <c r="O32" s="239"/>
      <c r="P32" s="239"/>
    </row>
    <row r="33" customFormat="false" ht="30" hidden="false" customHeight="true" outlineLevel="0" collapsed="false">
      <c r="A33" s="302" t="n">
        <v>23</v>
      </c>
      <c r="B33" s="303" t="s">
        <v>260</v>
      </c>
      <c r="C33" s="304" t="s">
        <v>261</v>
      </c>
      <c r="D33" s="304" t="s">
        <v>261</v>
      </c>
      <c r="E33" s="304" t="s">
        <v>261</v>
      </c>
      <c r="F33" s="313"/>
      <c r="G33" s="80"/>
      <c r="H33" s="80"/>
      <c r="I33" s="239"/>
      <c r="J33" s="80"/>
      <c r="K33" s="239"/>
      <c r="L33" s="80"/>
      <c r="M33" s="239"/>
      <c r="N33" s="239"/>
      <c r="O33" s="239"/>
      <c r="P33" s="239"/>
    </row>
    <row r="34" customFormat="false" ht="30" hidden="false" customHeight="true" outlineLevel="0" collapsed="false">
      <c r="A34" s="302" t="n">
        <v>24</v>
      </c>
      <c r="B34" s="303" t="s">
        <v>262</v>
      </c>
      <c r="C34" s="304" t="s">
        <v>263</v>
      </c>
      <c r="D34" s="304" t="s">
        <v>263</v>
      </c>
      <c r="E34" s="304" t="s">
        <v>263</v>
      </c>
      <c r="F34" s="313"/>
      <c r="G34" s="80"/>
      <c r="H34" s="80"/>
      <c r="I34" s="239"/>
      <c r="J34" s="80"/>
      <c r="K34" s="239"/>
      <c r="L34" s="80"/>
      <c r="M34" s="239"/>
      <c r="N34" s="239"/>
      <c r="O34" s="239"/>
      <c r="P34" s="239"/>
    </row>
    <row r="35" customFormat="false" ht="30" hidden="false" customHeight="true" outlineLevel="0" collapsed="false">
      <c r="A35" s="307" t="n">
        <v>25</v>
      </c>
      <c r="B35" s="308" t="s">
        <v>264</v>
      </c>
      <c r="C35" s="309" t="s">
        <v>265</v>
      </c>
      <c r="D35" s="309" t="s">
        <v>265</v>
      </c>
      <c r="E35" s="309" t="s">
        <v>265</v>
      </c>
      <c r="F35" s="310"/>
      <c r="G35" s="311"/>
      <c r="H35" s="311"/>
      <c r="I35" s="312"/>
      <c r="J35" s="311"/>
      <c r="K35" s="312"/>
      <c r="L35" s="311"/>
      <c r="M35" s="312"/>
      <c r="N35" s="312"/>
      <c r="O35" s="312"/>
      <c r="P35" s="312"/>
    </row>
    <row r="36" customFormat="false" ht="30" hidden="false" customHeight="true" outlineLevel="0" collapsed="false">
      <c r="A36" s="307" t="n">
        <v>26</v>
      </c>
      <c r="B36" s="308" t="s">
        <v>266</v>
      </c>
      <c r="C36" s="309" t="s">
        <v>267</v>
      </c>
      <c r="D36" s="309" t="s">
        <v>267</v>
      </c>
      <c r="E36" s="309" t="s">
        <v>267</v>
      </c>
      <c r="F36" s="310"/>
      <c r="G36" s="311"/>
      <c r="H36" s="311"/>
      <c r="I36" s="312"/>
      <c r="J36" s="311"/>
      <c r="K36" s="312"/>
      <c r="L36" s="311"/>
      <c r="M36" s="312"/>
      <c r="N36" s="312"/>
      <c r="O36" s="312"/>
      <c r="P36" s="312"/>
    </row>
    <row r="37" customFormat="false" ht="30" hidden="false" customHeight="true" outlineLevel="0" collapsed="false">
      <c r="A37" s="302" t="n">
        <v>27</v>
      </c>
      <c r="B37" s="303" t="s">
        <v>268</v>
      </c>
      <c r="C37" s="304" t="s">
        <v>269</v>
      </c>
      <c r="D37" s="304" t="s">
        <v>269</v>
      </c>
      <c r="E37" s="304" t="s">
        <v>269</v>
      </c>
      <c r="F37" s="313"/>
      <c r="G37" s="80"/>
      <c r="H37" s="80"/>
      <c r="I37" s="239"/>
      <c r="J37" s="80"/>
      <c r="K37" s="239"/>
      <c r="L37" s="80"/>
      <c r="M37" s="239"/>
      <c r="N37" s="239"/>
      <c r="O37" s="239"/>
      <c r="P37" s="239"/>
    </row>
    <row r="38" customFormat="false" ht="30" hidden="false" customHeight="true" outlineLevel="0" collapsed="false">
      <c r="A38" s="307" t="n">
        <v>28</v>
      </c>
      <c r="B38" s="308" t="s">
        <v>270</v>
      </c>
      <c r="C38" s="309" t="s">
        <v>271</v>
      </c>
      <c r="D38" s="309" t="s">
        <v>271</v>
      </c>
      <c r="E38" s="309" t="s">
        <v>271</v>
      </c>
      <c r="F38" s="310"/>
      <c r="G38" s="311"/>
      <c r="H38" s="311"/>
      <c r="I38" s="312"/>
      <c r="J38" s="311"/>
      <c r="K38" s="312"/>
      <c r="L38" s="311"/>
      <c r="M38" s="312"/>
      <c r="N38" s="312"/>
      <c r="O38" s="312"/>
      <c r="P38" s="312"/>
    </row>
    <row r="39" customFormat="false" ht="30" hidden="false" customHeight="true" outlineLevel="0" collapsed="false">
      <c r="A39" s="307" t="n">
        <v>29</v>
      </c>
      <c r="B39" s="308" t="s">
        <v>272</v>
      </c>
      <c r="C39" s="309" t="s">
        <v>273</v>
      </c>
      <c r="D39" s="309" t="s">
        <v>273</v>
      </c>
      <c r="E39" s="309" t="s">
        <v>273</v>
      </c>
      <c r="F39" s="310"/>
      <c r="G39" s="311"/>
      <c r="H39" s="311"/>
      <c r="I39" s="312"/>
      <c r="J39" s="311"/>
      <c r="K39" s="312"/>
      <c r="L39" s="311"/>
      <c r="M39" s="312"/>
      <c r="N39" s="312"/>
      <c r="O39" s="312"/>
      <c r="P39" s="312"/>
    </row>
    <row r="40" customFormat="false" ht="30" hidden="false" customHeight="true" outlineLevel="0" collapsed="false">
      <c r="A40" s="302" t="n">
        <v>30</v>
      </c>
      <c r="B40" s="303" t="s">
        <v>274</v>
      </c>
      <c r="C40" s="304" t="s">
        <v>275</v>
      </c>
      <c r="D40" s="304" t="s">
        <v>275</v>
      </c>
      <c r="E40" s="304" t="s">
        <v>275</v>
      </c>
      <c r="F40" s="313"/>
      <c r="G40" s="80"/>
      <c r="H40" s="80"/>
      <c r="I40" s="239"/>
      <c r="J40" s="80"/>
      <c r="K40" s="239"/>
      <c r="L40" s="80"/>
      <c r="M40" s="239"/>
      <c r="N40" s="239"/>
      <c r="O40" s="239"/>
      <c r="P40" s="239"/>
    </row>
    <row r="41" customFormat="false" ht="30" hidden="false" customHeight="true" outlineLevel="0" collapsed="false">
      <c r="A41" s="302" t="n">
        <v>31</v>
      </c>
      <c r="B41" s="303" t="s">
        <v>276</v>
      </c>
      <c r="C41" s="304" t="s">
        <v>277</v>
      </c>
      <c r="D41" s="304" t="s">
        <v>277</v>
      </c>
      <c r="E41" s="304" t="s">
        <v>277</v>
      </c>
      <c r="F41" s="313"/>
      <c r="G41" s="80"/>
      <c r="H41" s="80"/>
      <c r="I41" s="239"/>
      <c r="J41" s="80"/>
      <c r="K41" s="239"/>
      <c r="L41" s="80"/>
      <c r="M41" s="239"/>
      <c r="N41" s="239"/>
      <c r="O41" s="239"/>
      <c r="P41" s="239"/>
    </row>
    <row r="42" customFormat="false" ht="30" hidden="false" customHeight="true" outlineLevel="0" collapsed="false">
      <c r="A42" s="307" t="n">
        <v>32</v>
      </c>
      <c r="B42" s="308" t="s">
        <v>278</v>
      </c>
      <c r="C42" s="309" t="s">
        <v>279</v>
      </c>
      <c r="D42" s="309" t="s">
        <v>279</v>
      </c>
      <c r="E42" s="309" t="s">
        <v>279</v>
      </c>
      <c r="F42" s="310"/>
      <c r="G42" s="311"/>
      <c r="H42" s="311"/>
      <c r="I42" s="312"/>
      <c r="J42" s="311"/>
      <c r="K42" s="312"/>
      <c r="L42" s="311"/>
      <c r="M42" s="312"/>
      <c r="N42" s="312"/>
      <c r="O42" s="312"/>
      <c r="P42" s="312"/>
    </row>
    <row r="43" customFormat="false" ht="30" hidden="false" customHeight="true" outlineLevel="0" collapsed="false">
      <c r="A43" s="302" t="n">
        <v>33</v>
      </c>
      <c r="B43" s="303" t="s">
        <v>280</v>
      </c>
      <c r="C43" s="304" t="s">
        <v>281</v>
      </c>
      <c r="D43" s="304" t="s">
        <v>281</v>
      </c>
      <c r="E43" s="304" t="s">
        <v>281</v>
      </c>
      <c r="F43" s="313"/>
      <c r="G43" s="80"/>
      <c r="H43" s="80"/>
      <c r="I43" s="239"/>
      <c r="J43" s="80"/>
      <c r="K43" s="239"/>
      <c r="L43" s="80"/>
      <c r="M43" s="239"/>
      <c r="N43" s="239"/>
      <c r="O43" s="239"/>
      <c r="P43" s="239"/>
    </row>
    <row r="44" customFormat="false" ht="30" hidden="false" customHeight="true" outlineLevel="0" collapsed="false">
      <c r="A44" s="302" t="n">
        <v>34</v>
      </c>
      <c r="B44" s="303" t="s">
        <v>282</v>
      </c>
      <c r="C44" s="304" t="s">
        <v>283</v>
      </c>
      <c r="D44" s="304" t="s">
        <v>283</v>
      </c>
      <c r="E44" s="304" t="s">
        <v>283</v>
      </c>
      <c r="F44" s="313"/>
      <c r="G44" s="80"/>
      <c r="H44" s="80"/>
      <c r="I44" s="239"/>
      <c r="J44" s="80"/>
      <c r="K44" s="239"/>
      <c r="L44" s="80"/>
      <c r="M44" s="239"/>
      <c r="N44" s="239"/>
      <c r="O44" s="239"/>
      <c r="P44" s="239"/>
    </row>
    <row r="45" customFormat="false" ht="30" hidden="false" customHeight="true" outlineLevel="0" collapsed="false">
      <c r="A45" s="302" t="n">
        <v>35</v>
      </c>
      <c r="B45" s="303" t="s">
        <v>284</v>
      </c>
      <c r="C45" s="304" t="s">
        <v>285</v>
      </c>
      <c r="D45" s="304" t="s">
        <v>285</v>
      </c>
      <c r="E45" s="304" t="s">
        <v>285</v>
      </c>
      <c r="F45" s="313"/>
      <c r="G45" s="80"/>
      <c r="H45" s="80"/>
      <c r="I45" s="239"/>
      <c r="J45" s="80"/>
      <c r="K45" s="239"/>
      <c r="L45" s="80"/>
      <c r="M45" s="239"/>
      <c r="N45" s="239"/>
      <c r="O45" s="239"/>
      <c r="P45" s="239"/>
    </row>
    <row r="46" customFormat="false" ht="30" hidden="false" customHeight="true" outlineLevel="0" collapsed="false">
      <c r="A46" s="302" t="n">
        <v>36</v>
      </c>
      <c r="B46" s="303" t="s">
        <v>286</v>
      </c>
      <c r="C46" s="304" t="s">
        <v>287</v>
      </c>
      <c r="D46" s="304" t="s">
        <v>366</v>
      </c>
      <c r="E46" s="304" t="s">
        <v>366</v>
      </c>
      <c r="F46" s="313"/>
      <c r="G46" s="80"/>
      <c r="H46" s="80"/>
      <c r="I46" s="239"/>
      <c r="J46" s="80"/>
      <c r="K46" s="239"/>
      <c r="L46" s="80"/>
      <c r="M46" s="239"/>
      <c r="N46" s="239"/>
      <c r="O46" s="239"/>
      <c r="P46" s="239"/>
    </row>
    <row r="47" customFormat="false" ht="30" hidden="false" customHeight="true" outlineLevel="0" collapsed="false">
      <c r="A47" s="307" t="n">
        <v>37</v>
      </c>
      <c r="B47" s="308" t="s">
        <v>288</v>
      </c>
      <c r="C47" s="309" t="s">
        <v>289</v>
      </c>
      <c r="D47" s="309" t="s">
        <v>289</v>
      </c>
      <c r="E47" s="309" t="s">
        <v>289</v>
      </c>
      <c r="F47" s="310"/>
      <c r="G47" s="311"/>
      <c r="H47" s="311"/>
      <c r="I47" s="312"/>
      <c r="J47" s="311"/>
      <c r="K47" s="312"/>
      <c r="L47" s="311"/>
      <c r="M47" s="312"/>
      <c r="N47" s="312"/>
      <c r="O47" s="312"/>
      <c r="P47" s="312"/>
    </row>
    <row r="48" customFormat="false" ht="30" hidden="false" customHeight="true" outlineLevel="0" collapsed="false">
      <c r="A48" s="307" t="n">
        <v>38</v>
      </c>
      <c r="B48" s="308" t="s">
        <v>290</v>
      </c>
      <c r="C48" s="309" t="s">
        <v>291</v>
      </c>
      <c r="D48" s="309" t="s">
        <v>291</v>
      </c>
      <c r="E48" s="309" t="s">
        <v>291</v>
      </c>
      <c r="F48" s="310"/>
      <c r="G48" s="311"/>
      <c r="H48" s="311"/>
      <c r="I48" s="312"/>
      <c r="J48" s="311"/>
      <c r="K48" s="312"/>
      <c r="L48" s="311"/>
      <c r="M48" s="312"/>
      <c r="N48" s="312"/>
      <c r="O48" s="312"/>
      <c r="P48" s="312"/>
    </row>
    <row r="49" customFormat="false" ht="30" hidden="false" customHeight="true" outlineLevel="0" collapsed="false">
      <c r="A49" s="307" t="n">
        <v>39</v>
      </c>
      <c r="B49" s="308" t="s">
        <v>292</v>
      </c>
      <c r="C49" s="309" t="s">
        <v>293</v>
      </c>
      <c r="D49" s="309" t="s">
        <v>293</v>
      </c>
      <c r="E49" s="309" t="s">
        <v>293</v>
      </c>
      <c r="F49" s="310"/>
      <c r="G49" s="311"/>
      <c r="H49" s="311"/>
      <c r="I49" s="312"/>
      <c r="J49" s="311"/>
      <c r="K49" s="312"/>
      <c r="L49" s="311"/>
      <c r="M49" s="312"/>
      <c r="N49" s="312"/>
      <c r="O49" s="312"/>
      <c r="P49" s="312"/>
    </row>
    <row r="50" customFormat="false" ht="30" hidden="false" customHeight="true" outlineLevel="0" collapsed="false">
      <c r="A50" s="302" t="n">
        <v>40</v>
      </c>
      <c r="B50" s="303" t="s">
        <v>294</v>
      </c>
      <c r="C50" s="304" t="s">
        <v>295</v>
      </c>
      <c r="D50" s="304" t="s">
        <v>295</v>
      </c>
      <c r="E50" s="304" t="s">
        <v>295</v>
      </c>
      <c r="F50" s="313"/>
      <c r="G50" s="80"/>
      <c r="H50" s="80"/>
      <c r="I50" s="239"/>
      <c r="J50" s="80"/>
      <c r="K50" s="239"/>
      <c r="L50" s="80"/>
      <c r="M50" s="239"/>
      <c r="N50" s="239"/>
      <c r="O50" s="239"/>
      <c r="P50" s="239"/>
    </row>
    <row r="51" customFormat="false" ht="30" hidden="false" customHeight="true" outlineLevel="0" collapsed="false">
      <c r="A51" s="302" t="n">
        <v>41</v>
      </c>
      <c r="B51" s="303" t="s">
        <v>296</v>
      </c>
      <c r="C51" s="304" t="s">
        <v>297</v>
      </c>
      <c r="D51" s="304" t="s">
        <v>297</v>
      </c>
      <c r="E51" s="304" t="s">
        <v>297</v>
      </c>
      <c r="F51" s="313"/>
      <c r="G51" s="80"/>
      <c r="H51" s="80"/>
      <c r="I51" s="239"/>
      <c r="J51" s="80"/>
      <c r="K51" s="239"/>
      <c r="L51" s="80"/>
      <c r="M51" s="239"/>
      <c r="N51" s="239"/>
      <c r="O51" s="239"/>
      <c r="P51" s="239"/>
    </row>
    <row r="52" customFormat="false" ht="30" hidden="false" customHeight="true" outlineLevel="0" collapsed="false">
      <c r="A52" s="302" t="n">
        <v>42</v>
      </c>
      <c r="B52" s="303" t="s">
        <v>298</v>
      </c>
      <c r="C52" s="304" t="s">
        <v>299</v>
      </c>
      <c r="D52" s="304" t="s">
        <v>299</v>
      </c>
      <c r="E52" s="304" t="s">
        <v>299</v>
      </c>
      <c r="F52" s="313"/>
      <c r="G52" s="80"/>
      <c r="H52" s="80"/>
      <c r="I52" s="239"/>
      <c r="J52" s="80"/>
      <c r="K52" s="239"/>
      <c r="L52" s="80"/>
      <c r="M52" s="239"/>
      <c r="N52" s="239"/>
      <c r="O52" s="239"/>
      <c r="P52" s="239"/>
    </row>
    <row r="53" customFormat="false" ht="30" hidden="false" customHeight="true" outlineLevel="0" collapsed="false">
      <c r="A53" s="302" t="n">
        <v>43</v>
      </c>
      <c r="B53" s="303" t="s">
        <v>300</v>
      </c>
      <c r="C53" s="304" t="s">
        <v>301</v>
      </c>
      <c r="D53" s="304" t="s">
        <v>301</v>
      </c>
      <c r="E53" s="304" t="s">
        <v>301</v>
      </c>
      <c r="F53" s="313"/>
      <c r="G53" s="80"/>
      <c r="H53" s="80"/>
      <c r="I53" s="239"/>
      <c r="J53" s="80"/>
      <c r="K53" s="239"/>
      <c r="L53" s="80"/>
      <c r="M53" s="239"/>
      <c r="N53" s="239"/>
      <c r="O53" s="239"/>
      <c r="P53" s="239"/>
    </row>
    <row r="54" customFormat="false" ht="30" hidden="false" customHeight="true" outlineLevel="0" collapsed="false">
      <c r="A54" s="302" t="n">
        <v>44</v>
      </c>
      <c r="B54" s="303" t="s">
        <v>302</v>
      </c>
      <c r="C54" s="304" t="s">
        <v>303</v>
      </c>
      <c r="D54" s="304" t="s">
        <v>303</v>
      </c>
      <c r="E54" s="304" t="s">
        <v>303</v>
      </c>
      <c r="F54" s="313"/>
      <c r="G54" s="80"/>
      <c r="H54" s="80"/>
      <c r="I54" s="239"/>
      <c r="J54" s="80"/>
      <c r="K54" s="239"/>
      <c r="L54" s="80"/>
      <c r="M54" s="239"/>
      <c r="N54" s="239"/>
      <c r="O54" s="239"/>
      <c r="P54" s="239"/>
    </row>
    <row r="55" customFormat="false" ht="30" hidden="false" customHeight="true" outlineLevel="0" collapsed="false">
      <c r="A55" s="307" t="n">
        <v>45</v>
      </c>
      <c r="B55" s="308" t="s">
        <v>304</v>
      </c>
      <c r="C55" s="309" t="s">
        <v>305</v>
      </c>
      <c r="D55" s="309" t="s">
        <v>305</v>
      </c>
      <c r="E55" s="309" t="s">
        <v>305</v>
      </c>
      <c r="F55" s="310"/>
      <c r="G55" s="311"/>
      <c r="H55" s="311"/>
      <c r="I55" s="312"/>
      <c r="J55" s="311"/>
      <c r="K55" s="312"/>
      <c r="L55" s="311"/>
      <c r="M55" s="312"/>
      <c r="N55" s="312"/>
      <c r="O55" s="312"/>
      <c r="P55" s="312"/>
    </row>
    <row r="56" customFormat="false" ht="30" hidden="false" customHeight="true" outlineLevel="0" collapsed="false">
      <c r="A56" s="307" t="n">
        <v>46</v>
      </c>
      <c r="B56" s="308" t="s">
        <v>306</v>
      </c>
      <c r="C56" s="309" t="s">
        <v>307</v>
      </c>
      <c r="D56" s="309" t="s">
        <v>307</v>
      </c>
      <c r="E56" s="309" t="s">
        <v>307</v>
      </c>
      <c r="F56" s="310"/>
      <c r="G56" s="311"/>
      <c r="H56" s="311"/>
      <c r="I56" s="312"/>
      <c r="J56" s="311"/>
      <c r="K56" s="312"/>
      <c r="L56" s="311"/>
      <c r="M56" s="312"/>
      <c r="N56" s="312"/>
      <c r="O56" s="312"/>
      <c r="P56" s="312"/>
    </row>
    <row r="57" customFormat="false" ht="30" hidden="false" customHeight="true" outlineLevel="0" collapsed="false">
      <c r="A57" s="302" t="n">
        <v>47</v>
      </c>
      <c r="B57" s="303" t="s">
        <v>308</v>
      </c>
      <c r="C57" s="304" t="s">
        <v>309</v>
      </c>
      <c r="D57" s="304" t="s">
        <v>309</v>
      </c>
      <c r="E57" s="304" t="s">
        <v>309</v>
      </c>
      <c r="F57" s="313"/>
      <c r="G57" s="80"/>
      <c r="H57" s="80"/>
      <c r="I57" s="239"/>
      <c r="J57" s="80"/>
      <c r="K57" s="239"/>
      <c r="L57" s="80"/>
      <c r="M57" s="239"/>
      <c r="N57" s="239"/>
      <c r="O57" s="239"/>
      <c r="P57" s="239"/>
    </row>
    <row r="58" customFormat="false" ht="30" hidden="false" customHeight="true" outlineLevel="0" collapsed="false">
      <c r="A58" s="302" t="n">
        <v>48</v>
      </c>
      <c r="B58" s="303" t="s">
        <v>310</v>
      </c>
      <c r="C58" s="304" t="s">
        <v>311</v>
      </c>
      <c r="D58" s="304" t="s">
        <v>311</v>
      </c>
      <c r="E58" s="304" t="s">
        <v>311</v>
      </c>
      <c r="F58" s="313"/>
      <c r="G58" s="80"/>
      <c r="H58" s="80"/>
      <c r="I58" s="239"/>
      <c r="J58" s="80"/>
      <c r="K58" s="239"/>
      <c r="L58" s="80"/>
      <c r="M58" s="239"/>
      <c r="N58" s="239"/>
      <c r="O58" s="239"/>
      <c r="P58" s="239"/>
    </row>
    <row r="59" customFormat="false" ht="30" hidden="false" customHeight="true" outlineLevel="0" collapsed="false">
      <c r="A59" s="302" t="n">
        <v>49</v>
      </c>
      <c r="B59" s="303" t="s">
        <v>312</v>
      </c>
      <c r="C59" s="304" t="s">
        <v>313</v>
      </c>
      <c r="D59" s="304" t="s">
        <v>313</v>
      </c>
      <c r="E59" s="304" t="s">
        <v>313</v>
      </c>
      <c r="F59" s="313"/>
      <c r="G59" s="80"/>
      <c r="H59" s="80"/>
      <c r="I59" s="239"/>
      <c r="J59" s="80"/>
      <c r="K59" s="239"/>
      <c r="L59" s="80"/>
      <c r="M59" s="239"/>
      <c r="N59" s="239"/>
      <c r="O59" s="239"/>
      <c r="P59" s="239"/>
    </row>
    <row r="60" customFormat="false" ht="30" hidden="false" customHeight="true" outlineLevel="0" collapsed="false">
      <c r="A60" s="302" t="n">
        <v>50</v>
      </c>
      <c r="B60" s="303" t="s">
        <v>314</v>
      </c>
      <c r="C60" s="304" t="s">
        <v>315</v>
      </c>
      <c r="D60" s="304" t="s">
        <v>315</v>
      </c>
      <c r="E60" s="304" t="s">
        <v>315</v>
      </c>
      <c r="F60" s="313"/>
      <c r="G60" s="80"/>
      <c r="H60" s="80"/>
      <c r="I60" s="239"/>
      <c r="J60" s="80"/>
      <c r="K60" s="239"/>
      <c r="L60" s="80"/>
      <c r="M60" s="239"/>
      <c r="N60" s="239"/>
      <c r="O60" s="239"/>
      <c r="P60" s="239"/>
    </row>
    <row r="61" customFormat="false" ht="30" hidden="false" customHeight="true" outlineLevel="0" collapsed="false">
      <c r="A61" s="307" t="n">
        <v>51</v>
      </c>
      <c r="B61" s="308" t="s">
        <v>316</v>
      </c>
      <c r="C61" s="309" t="s">
        <v>317</v>
      </c>
      <c r="D61" s="309" t="s">
        <v>317</v>
      </c>
      <c r="E61" s="309" t="s">
        <v>317</v>
      </c>
      <c r="F61" s="310"/>
      <c r="G61" s="311"/>
      <c r="H61" s="311"/>
      <c r="I61" s="312"/>
      <c r="J61" s="311"/>
      <c r="K61" s="312"/>
      <c r="L61" s="311"/>
      <c r="M61" s="312"/>
      <c r="N61" s="312"/>
      <c r="O61" s="312"/>
      <c r="P61" s="312"/>
    </row>
    <row r="62" customFormat="false" ht="30" hidden="false" customHeight="true" outlineLevel="0" collapsed="false">
      <c r="A62" s="302" t="n">
        <v>52</v>
      </c>
      <c r="B62" s="303" t="s">
        <v>318</v>
      </c>
      <c r="C62" s="304" t="s">
        <v>319</v>
      </c>
      <c r="D62" s="304" t="s">
        <v>319</v>
      </c>
      <c r="E62" s="304" t="s">
        <v>319</v>
      </c>
      <c r="F62" s="313"/>
      <c r="G62" s="80"/>
      <c r="H62" s="80"/>
      <c r="I62" s="239"/>
      <c r="J62" s="80"/>
      <c r="K62" s="239"/>
      <c r="L62" s="80"/>
      <c r="M62" s="239"/>
      <c r="N62" s="239"/>
      <c r="O62" s="239"/>
      <c r="P62" s="239"/>
    </row>
    <row r="63" customFormat="false" ht="30" hidden="false" customHeight="true" outlineLevel="0" collapsed="false">
      <c r="A63" s="302" t="n">
        <v>53</v>
      </c>
      <c r="B63" s="303" t="s">
        <v>320</v>
      </c>
      <c r="C63" s="304" t="s">
        <v>321</v>
      </c>
      <c r="D63" s="304" t="s">
        <v>321</v>
      </c>
      <c r="E63" s="304" t="s">
        <v>321</v>
      </c>
      <c r="F63" s="313"/>
      <c r="G63" s="80"/>
      <c r="H63" s="80"/>
      <c r="I63" s="239"/>
      <c r="J63" s="80"/>
      <c r="K63" s="239"/>
      <c r="L63" s="80"/>
      <c r="M63" s="239"/>
      <c r="N63" s="239"/>
      <c r="O63" s="239"/>
      <c r="P63" s="239"/>
    </row>
    <row r="64" customFormat="false" ht="30" hidden="false" customHeight="true" outlineLevel="0" collapsed="false">
      <c r="A64" s="307" t="n">
        <v>54</v>
      </c>
      <c r="B64" s="308" t="s">
        <v>322</v>
      </c>
      <c r="C64" s="309" t="s">
        <v>367</v>
      </c>
      <c r="D64" s="309" t="s">
        <v>367</v>
      </c>
      <c r="E64" s="309" t="s">
        <v>367</v>
      </c>
      <c r="F64" s="310"/>
      <c r="G64" s="311"/>
      <c r="H64" s="311"/>
      <c r="I64" s="312"/>
      <c r="J64" s="311"/>
      <c r="K64" s="312"/>
      <c r="L64" s="311"/>
      <c r="M64" s="312"/>
      <c r="N64" s="312"/>
      <c r="O64" s="312"/>
      <c r="P64" s="312"/>
    </row>
    <row r="65" customFormat="false" ht="30" hidden="false" customHeight="true" outlineLevel="0" collapsed="false">
      <c r="A65" s="302" t="n">
        <v>55</v>
      </c>
      <c r="B65" s="303" t="s">
        <v>324</v>
      </c>
      <c r="C65" s="304" t="s">
        <v>325</v>
      </c>
      <c r="D65" s="304" t="s">
        <v>325</v>
      </c>
      <c r="E65" s="304" t="s">
        <v>325</v>
      </c>
      <c r="F65" s="313"/>
      <c r="G65" s="80"/>
      <c r="H65" s="80"/>
      <c r="I65" s="239"/>
      <c r="J65" s="80"/>
      <c r="K65" s="239"/>
      <c r="L65" s="80"/>
      <c r="M65" s="239"/>
      <c r="N65" s="239"/>
      <c r="O65" s="239"/>
      <c r="P65" s="239"/>
    </row>
    <row r="66" customFormat="false" ht="30" hidden="false" customHeight="true" outlineLevel="0" collapsed="false">
      <c r="A66" s="302" t="n">
        <v>56</v>
      </c>
      <c r="B66" s="303" t="s">
        <v>326</v>
      </c>
      <c r="C66" s="304" t="s">
        <v>327</v>
      </c>
      <c r="D66" s="304" t="s">
        <v>327</v>
      </c>
      <c r="E66" s="304" t="s">
        <v>327</v>
      </c>
      <c r="F66" s="313"/>
      <c r="G66" s="80"/>
      <c r="H66" s="80"/>
      <c r="I66" s="239"/>
      <c r="J66" s="80"/>
      <c r="K66" s="239"/>
      <c r="L66" s="80"/>
      <c r="M66" s="239"/>
      <c r="N66" s="239"/>
      <c r="O66" s="239"/>
      <c r="P66" s="239"/>
    </row>
    <row r="67" customFormat="false" ht="30" hidden="false" customHeight="true" outlineLevel="0" collapsed="false">
      <c r="A67" s="302" t="n">
        <v>57</v>
      </c>
      <c r="B67" s="303" t="s">
        <v>328</v>
      </c>
      <c r="C67" s="304" t="s">
        <v>368</v>
      </c>
      <c r="D67" s="304" t="s">
        <v>368</v>
      </c>
      <c r="E67" s="304" t="s">
        <v>368</v>
      </c>
      <c r="F67" s="313"/>
      <c r="G67" s="80"/>
      <c r="H67" s="80"/>
      <c r="I67" s="239"/>
      <c r="J67" s="80"/>
      <c r="K67" s="239"/>
      <c r="L67" s="80"/>
      <c r="M67" s="239"/>
      <c r="N67" s="239"/>
      <c r="O67" s="239"/>
      <c r="P67" s="239"/>
    </row>
    <row r="68" customFormat="false" ht="30" hidden="false" customHeight="true" outlineLevel="0" collapsed="false">
      <c r="A68" s="302" t="n">
        <v>58</v>
      </c>
      <c r="B68" s="303" t="s">
        <v>330</v>
      </c>
      <c r="C68" s="304" t="s">
        <v>331</v>
      </c>
      <c r="D68" s="304" t="s">
        <v>331</v>
      </c>
      <c r="E68" s="304" t="s">
        <v>331</v>
      </c>
      <c r="F68" s="313"/>
      <c r="G68" s="80"/>
      <c r="H68" s="80"/>
      <c r="I68" s="239"/>
      <c r="J68" s="80"/>
      <c r="K68" s="239"/>
      <c r="L68" s="80"/>
      <c r="M68" s="239"/>
      <c r="N68" s="239"/>
      <c r="O68" s="239"/>
      <c r="P68" s="239"/>
    </row>
    <row r="69" customFormat="false" ht="30" hidden="false" customHeight="true" outlineLevel="0" collapsed="false">
      <c r="A69" s="302" t="n">
        <v>59</v>
      </c>
      <c r="B69" s="303" t="s">
        <v>332</v>
      </c>
      <c r="C69" s="304" t="s">
        <v>333</v>
      </c>
      <c r="D69" s="304" t="s">
        <v>333</v>
      </c>
      <c r="E69" s="304" t="s">
        <v>333</v>
      </c>
      <c r="F69" s="313"/>
      <c r="G69" s="80"/>
      <c r="H69" s="80"/>
      <c r="I69" s="239"/>
      <c r="J69" s="80"/>
      <c r="K69" s="239"/>
      <c r="L69" s="80"/>
      <c r="M69" s="239"/>
      <c r="N69" s="239"/>
      <c r="O69" s="239"/>
      <c r="P69" s="239"/>
    </row>
    <row r="70" customFormat="false" ht="30" hidden="false" customHeight="true" outlineLevel="0" collapsed="false">
      <c r="A70" s="302" t="n">
        <v>60</v>
      </c>
      <c r="B70" s="303" t="s">
        <v>334</v>
      </c>
      <c r="C70" s="304" t="s">
        <v>335</v>
      </c>
      <c r="D70" s="304" t="s">
        <v>335</v>
      </c>
      <c r="E70" s="304" t="s">
        <v>335</v>
      </c>
      <c r="F70" s="313"/>
      <c r="G70" s="80"/>
      <c r="H70" s="80"/>
      <c r="I70" s="239"/>
      <c r="J70" s="80"/>
      <c r="K70" s="239"/>
      <c r="L70" s="80"/>
      <c r="M70" s="239"/>
      <c r="N70" s="239"/>
      <c r="O70" s="239"/>
      <c r="P70" s="239"/>
    </row>
    <row r="71" customFormat="false" ht="30" hidden="false" customHeight="true" outlineLevel="0" collapsed="false">
      <c r="A71" s="307" t="n">
        <v>61</v>
      </c>
      <c r="B71" s="308" t="s">
        <v>336</v>
      </c>
      <c r="C71" s="309" t="s">
        <v>337</v>
      </c>
      <c r="D71" s="309" t="s">
        <v>337</v>
      </c>
      <c r="E71" s="309" t="s">
        <v>337</v>
      </c>
      <c r="F71" s="310"/>
      <c r="G71" s="311"/>
      <c r="H71" s="311"/>
      <c r="I71" s="312"/>
      <c r="J71" s="311"/>
      <c r="K71" s="312"/>
      <c r="L71" s="311"/>
      <c r="M71" s="312"/>
      <c r="N71" s="312"/>
      <c r="O71" s="312"/>
      <c r="P71" s="312"/>
    </row>
    <row r="72" customFormat="false" ht="30" hidden="false" customHeight="true" outlineLevel="0" collapsed="false">
      <c r="A72" s="302" t="n">
        <v>62</v>
      </c>
      <c r="B72" s="303" t="s">
        <v>338</v>
      </c>
      <c r="C72" s="304" t="s">
        <v>339</v>
      </c>
      <c r="D72" s="304" t="s">
        <v>339</v>
      </c>
      <c r="E72" s="304" t="s">
        <v>339</v>
      </c>
      <c r="F72" s="313"/>
      <c r="G72" s="80"/>
      <c r="H72" s="80"/>
      <c r="I72" s="239"/>
      <c r="J72" s="80"/>
      <c r="K72" s="239"/>
      <c r="L72" s="80"/>
      <c r="M72" s="239"/>
      <c r="N72" s="239"/>
      <c r="O72" s="239"/>
      <c r="P72" s="239"/>
    </row>
    <row r="73" customFormat="false" ht="30" hidden="false" customHeight="true" outlineLevel="0" collapsed="false">
      <c r="A73" s="302" t="n">
        <v>63</v>
      </c>
      <c r="B73" s="303" t="s">
        <v>340</v>
      </c>
      <c r="C73" s="304" t="s">
        <v>341</v>
      </c>
      <c r="D73" s="304" t="s">
        <v>341</v>
      </c>
      <c r="E73" s="304" t="s">
        <v>341</v>
      </c>
      <c r="F73" s="313"/>
      <c r="G73" s="80"/>
      <c r="H73" s="80"/>
      <c r="I73" s="239"/>
      <c r="J73" s="80"/>
      <c r="K73" s="239"/>
      <c r="L73" s="80"/>
      <c r="M73" s="239"/>
      <c r="N73" s="239"/>
      <c r="O73" s="239"/>
      <c r="P73" s="239"/>
    </row>
    <row r="74" customFormat="false" ht="30" hidden="false" customHeight="true" outlineLevel="0" collapsed="false">
      <c r="A74" s="302" t="n">
        <v>64</v>
      </c>
      <c r="B74" s="303" t="s">
        <v>342</v>
      </c>
      <c r="C74" s="304" t="s">
        <v>343</v>
      </c>
      <c r="D74" s="304" t="s">
        <v>343</v>
      </c>
      <c r="E74" s="304" t="s">
        <v>343</v>
      </c>
      <c r="F74" s="313"/>
      <c r="G74" s="80"/>
      <c r="H74" s="80"/>
      <c r="I74" s="239"/>
      <c r="J74" s="80"/>
      <c r="K74" s="239"/>
      <c r="L74" s="80"/>
      <c r="M74" s="239"/>
      <c r="N74" s="239"/>
      <c r="O74" s="239"/>
      <c r="P74" s="239"/>
    </row>
    <row r="75" customFormat="false" ht="30" hidden="false" customHeight="true" outlineLevel="0" collapsed="false">
      <c r="A75" s="302" t="n">
        <v>65</v>
      </c>
      <c r="B75" s="303" t="s">
        <v>344</v>
      </c>
      <c r="C75" s="304" t="s">
        <v>345</v>
      </c>
      <c r="D75" s="304" t="s">
        <v>345</v>
      </c>
      <c r="E75" s="304" t="s">
        <v>345</v>
      </c>
      <c r="F75" s="313"/>
      <c r="G75" s="80"/>
      <c r="H75" s="80"/>
      <c r="I75" s="239"/>
      <c r="J75" s="80"/>
      <c r="K75" s="239"/>
      <c r="L75" s="80"/>
      <c r="M75" s="239"/>
      <c r="N75" s="239"/>
      <c r="O75" s="239"/>
      <c r="P75" s="239"/>
    </row>
    <row r="76" customFormat="false" ht="30" hidden="false" customHeight="true" outlineLevel="0" collapsed="false">
      <c r="A76" s="302" t="n">
        <v>66</v>
      </c>
      <c r="B76" s="303" t="s">
        <v>346</v>
      </c>
      <c r="C76" s="304" t="s">
        <v>347</v>
      </c>
      <c r="D76" s="304" t="s">
        <v>347</v>
      </c>
      <c r="E76" s="304" t="s">
        <v>347</v>
      </c>
      <c r="F76" s="313"/>
      <c r="G76" s="80"/>
      <c r="H76" s="80"/>
      <c r="I76" s="239"/>
      <c r="J76" s="80"/>
      <c r="K76" s="239"/>
      <c r="L76" s="80"/>
      <c r="M76" s="239"/>
      <c r="N76" s="239"/>
      <c r="O76" s="239"/>
      <c r="P76" s="239"/>
    </row>
    <row r="77" customFormat="false" ht="30" hidden="false" customHeight="true" outlineLevel="0" collapsed="false">
      <c r="A77" s="307" t="n">
        <v>67</v>
      </c>
      <c r="B77" s="308" t="s">
        <v>348</v>
      </c>
      <c r="C77" s="309" t="s">
        <v>349</v>
      </c>
      <c r="D77" s="309" t="s">
        <v>349</v>
      </c>
      <c r="E77" s="309" t="s">
        <v>349</v>
      </c>
      <c r="F77" s="310"/>
      <c r="G77" s="311"/>
      <c r="H77" s="311"/>
      <c r="I77" s="312"/>
      <c r="J77" s="311"/>
      <c r="K77" s="312"/>
      <c r="L77" s="311"/>
      <c r="M77" s="312"/>
      <c r="N77" s="312"/>
      <c r="O77" s="312"/>
      <c r="P77" s="312"/>
    </row>
    <row r="78" customFormat="false" ht="30" hidden="false" customHeight="true" outlineLevel="0" collapsed="false">
      <c r="A78" s="302" t="n">
        <v>68</v>
      </c>
      <c r="B78" s="303" t="s">
        <v>350</v>
      </c>
      <c r="C78" s="304" t="s">
        <v>351</v>
      </c>
      <c r="D78" s="304" t="s">
        <v>351</v>
      </c>
      <c r="E78" s="304" t="s">
        <v>351</v>
      </c>
      <c r="F78" s="313"/>
      <c r="G78" s="80"/>
      <c r="H78" s="80"/>
      <c r="I78" s="239"/>
      <c r="J78" s="80"/>
      <c r="K78" s="239"/>
      <c r="L78" s="80"/>
      <c r="M78" s="239"/>
      <c r="N78" s="239"/>
      <c r="O78" s="239"/>
      <c r="P78" s="239"/>
    </row>
    <row r="79" customFormat="false" ht="30" hidden="false" customHeight="true" outlineLevel="0" collapsed="false">
      <c r="A79" s="307" t="n">
        <v>69</v>
      </c>
      <c r="B79" s="308" t="s">
        <v>352</v>
      </c>
      <c r="C79" s="309" t="s">
        <v>353</v>
      </c>
      <c r="D79" s="309" t="s">
        <v>353</v>
      </c>
      <c r="E79" s="309" t="s">
        <v>353</v>
      </c>
      <c r="F79" s="310"/>
      <c r="G79" s="311"/>
      <c r="H79" s="311"/>
      <c r="I79" s="312"/>
      <c r="J79" s="311"/>
      <c r="K79" s="312"/>
      <c r="L79" s="311"/>
      <c r="M79" s="312"/>
      <c r="N79" s="312"/>
      <c r="O79" s="312"/>
      <c r="P79" s="312"/>
    </row>
    <row r="80" customFormat="false" ht="30" hidden="false" customHeight="true" outlineLevel="0" collapsed="false">
      <c r="A80" s="302" t="n">
        <v>70</v>
      </c>
      <c r="B80" s="303" t="s">
        <v>354</v>
      </c>
      <c r="C80" s="304" t="s">
        <v>355</v>
      </c>
      <c r="D80" s="304" t="s">
        <v>369</v>
      </c>
      <c r="E80" s="304" t="s">
        <v>369</v>
      </c>
      <c r="F80" s="313"/>
      <c r="G80" s="80"/>
      <c r="H80" s="80"/>
      <c r="I80" s="239"/>
      <c r="J80" s="80"/>
      <c r="K80" s="239"/>
      <c r="L80" s="80"/>
      <c r="M80" s="239"/>
      <c r="N80" s="239"/>
      <c r="O80" s="239"/>
      <c r="P80" s="239"/>
    </row>
    <row r="81" s="218" customFormat="true" ht="30" hidden="false" customHeight="true" outlineLevel="0" collapsed="false">
      <c r="A81" s="302" t="n">
        <v>71</v>
      </c>
      <c r="B81" s="303" t="s">
        <v>370</v>
      </c>
      <c r="C81" s="304" t="s">
        <v>371</v>
      </c>
      <c r="D81" s="304"/>
      <c r="E81" s="304"/>
      <c r="F81" s="313"/>
      <c r="G81" s="80"/>
      <c r="H81" s="80"/>
      <c r="I81" s="239"/>
      <c r="J81" s="80"/>
      <c r="K81" s="239"/>
      <c r="L81" s="80"/>
      <c r="M81" s="239"/>
      <c r="N81" s="239"/>
      <c r="O81" s="239"/>
      <c r="P81" s="239"/>
    </row>
    <row r="82" s="218" customFormat="true" ht="30" hidden="false" customHeight="true" outlineLevel="0" collapsed="false">
      <c r="A82" s="302" t="n">
        <v>72</v>
      </c>
      <c r="B82" s="303" t="s">
        <v>372</v>
      </c>
      <c r="C82" s="304" t="s">
        <v>373</v>
      </c>
      <c r="D82" s="304"/>
      <c r="E82" s="304"/>
      <c r="F82" s="313"/>
      <c r="G82" s="80"/>
      <c r="H82" s="80"/>
      <c r="I82" s="239"/>
      <c r="J82" s="80"/>
      <c r="K82" s="239"/>
      <c r="L82" s="80"/>
      <c r="M82" s="239"/>
      <c r="N82" s="239"/>
      <c r="O82" s="239"/>
      <c r="P82" s="239"/>
    </row>
    <row r="83" s="218" customFormat="true" ht="30" hidden="false" customHeight="true" outlineLevel="0" collapsed="false">
      <c r="A83" s="302" t="n">
        <v>73</v>
      </c>
      <c r="B83" s="303" t="s">
        <v>374</v>
      </c>
      <c r="C83" s="304" t="s">
        <v>375</v>
      </c>
      <c r="D83" s="304"/>
      <c r="E83" s="304"/>
      <c r="F83" s="313"/>
      <c r="G83" s="80"/>
      <c r="H83" s="80"/>
      <c r="I83" s="239"/>
      <c r="J83" s="80"/>
      <c r="K83" s="239"/>
      <c r="L83" s="80"/>
      <c r="M83" s="239"/>
      <c r="N83" s="239"/>
      <c r="O83" s="239"/>
      <c r="P83" s="239"/>
    </row>
    <row r="84" s="218" customFormat="true" ht="30" hidden="false" customHeight="true" outlineLevel="0" collapsed="false">
      <c r="A84" s="302" t="n">
        <v>74</v>
      </c>
      <c r="B84" s="303" t="s">
        <v>376</v>
      </c>
      <c r="C84" s="304" t="s">
        <v>377</v>
      </c>
      <c r="D84" s="304"/>
      <c r="E84" s="304"/>
      <c r="F84" s="313"/>
      <c r="G84" s="80"/>
      <c r="H84" s="80"/>
      <c r="I84" s="239"/>
      <c r="J84" s="80"/>
      <c r="K84" s="239"/>
      <c r="L84" s="80"/>
      <c r="M84" s="239"/>
      <c r="N84" s="239"/>
      <c r="O84" s="239"/>
      <c r="P84" s="239"/>
    </row>
    <row r="85" s="218" customFormat="true" ht="30" hidden="false" customHeight="true" outlineLevel="0" collapsed="false">
      <c r="A85" s="302" t="n">
        <v>75</v>
      </c>
      <c r="B85" s="303" t="s">
        <v>378</v>
      </c>
      <c r="C85" s="304" t="s">
        <v>379</v>
      </c>
      <c r="D85" s="304"/>
      <c r="E85" s="304"/>
      <c r="F85" s="313"/>
      <c r="G85" s="80"/>
      <c r="H85" s="80"/>
      <c r="I85" s="239"/>
      <c r="J85" s="80"/>
      <c r="K85" s="239"/>
      <c r="L85" s="80"/>
      <c r="M85" s="239"/>
      <c r="N85" s="239"/>
      <c r="O85" s="239"/>
      <c r="P85" s="239"/>
    </row>
    <row r="86" s="218" customFormat="true" ht="30" hidden="false" customHeight="true" outlineLevel="0" collapsed="false">
      <c r="A86" s="302" t="n">
        <v>76</v>
      </c>
      <c r="B86" s="303" t="s">
        <v>380</v>
      </c>
      <c r="C86" s="304" t="s">
        <v>381</v>
      </c>
      <c r="D86" s="304"/>
      <c r="E86" s="304"/>
      <c r="F86" s="313"/>
      <c r="G86" s="80"/>
      <c r="H86" s="80"/>
      <c r="I86" s="239"/>
      <c r="J86" s="80"/>
      <c r="K86" s="239"/>
      <c r="L86" s="80"/>
      <c r="M86" s="239"/>
      <c r="N86" s="239"/>
      <c r="O86" s="239"/>
      <c r="P86" s="239"/>
    </row>
    <row r="87" s="218" customFormat="true" ht="30" hidden="false" customHeight="true" outlineLevel="0" collapsed="false">
      <c r="A87" s="302" t="n">
        <v>77</v>
      </c>
      <c r="B87" s="303" t="s">
        <v>382</v>
      </c>
      <c r="C87" s="304" t="s">
        <v>383</v>
      </c>
      <c r="D87" s="304"/>
      <c r="E87" s="304"/>
      <c r="F87" s="313"/>
      <c r="G87" s="80"/>
      <c r="H87" s="80"/>
      <c r="I87" s="239"/>
      <c r="J87" s="80"/>
      <c r="K87" s="239"/>
      <c r="L87" s="80"/>
      <c r="M87" s="239"/>
      <c r="N87" s="239"/>
      <c r="O87" s="239"/>
      <c r="P87" s="239"/>
    </row>
    <row r="88" s="218" customFormat="true" ht="30" hidden="false" customHeight="true" outlineLevel="0" collapsed="false">
      <c r="A88" s="302" t="n">
        <v>78</v>
      </c>
      <c r="B88" s="303" t="s">
        <v>384</v>
      </c>
      <c r="C88" s="304" t="s">
        <v>385</v>
      </c>
      <c r="D88" s="304"/>
      <c r="E88" s="304"/>
      <c r="F88" s="313"/>
      <c r="G88" s="80"/>
      <c r="H88" s="80"/>
      <c r="I88" s="239"/>
      <c r="J88" s="80"/>
      <c r="K88" s="239"/>
      <c r="L88" s="80"/>
      <c r="M88" s="239"/>
      <c r="N88" s="239"/>
      <c r="O88" s="239"/>
      <c r="P88" s="239"/>
    </row>
    <row r="89" s="218" customFormat="true" ht="30" hidden="false" customHeight="true" outlineLevel="0" collapsed="false">
      <c r="A89" s="302" t="n">
        <v>79</v>
      </c>
      <c r="B89" s="303" t="s">
        <v>386</v>
      </c>
      <c r="C89" s="304" t="s">
        <v>387</v>
      </c>
      <c r="D89" s="304"/>
      <c r="E89" s="304"/>
      <c r="F89" s="313"/>
      <c r="G89" s="80"/>
      <c r="H89" s="80"/>
      <c r="I89" s="239"/>
      <c r="J89" s="80"/>
      <c r="K89" s="239"/>
      <c r="L89" s="80"/>
      <c r="M89" s="239"/>
      <c r="N89" s="239"/>
      <c r="O89" s="239"/>
      <c r="P89" s="239"/>
    </row>
    <row r="90" s="218" customFormat="true" ht="30" hidden="false" customHeight="true" outlineLevel="0" collapsed="false">
      <c r="A90" s="302" t="n">
        <v>80</v>
      </c>
      <c r="B90" s="303" t="s">
        <v>388</v>
      </c>
      <c r="C90" s="304" t="s">
        <v>389</v>
      </c>
      <c r="D90" s="304"/>
      <c r="E90" s="304"/>
      <c r="F90" s="313"/>
      <c r="G90" s="80"/>
      <c r="H90" s="80"/>
      <c r="I90" s="239"/>
      <c r="J90" s="80"/>
      <c r="K90" s="239"/>
      <c r="L90" s="80"/>
      <c r="M90" s="239"/>
      <c r="N90" s="239"/>
      <c r="O90" s="239"/>
      <c r="P90" s="239"/>
    </row>
    <row r="91" s="218" customFormat="true" ht="30" hidden="false" customHeight="true" outlineLevel="0" collapsed="false">
      <c r="A91" s="302" t="n">
        <v>81</v>
      </c>
      <c r="B91" s="303" t="s">
        <v>390</v>
      </c>
      <c r="C91" s="304" t="s">
        <v>391</v>
      </c>
      <c r="D91" s="304"/>
      <c r="E91" s="304"/>
      <c r="F91" s="313"/>
      <c r="G91" s="80"/>
      <c r="H91" s="80"/>
      <c r="I91" s="239"/>
      <c r="J91" s="80"/>
      <c r="K91" s="239"/>
      <c r="L91" s="80"/>
      <c r="M91" s="239"/>
      <c r="N91" s="239"/>
      <c r="O91" s="239"/>
      <c r="P91" s="239"/>
    </row>
    <row r="92" s="218" customFormat="true" ht="30" hidden="false" customHeight="true" outlineLevel="0" collapsed="false">
      <c r="A92" s="302" t="n">
        <v>82</v>
      </c>
      <c r="B92" s="303" t="s">
        <v>392</v>
      </c>
      <c r="C92" s="304" t="s">
        <v>393</v>
      </c>
      <c r="D92" s="304"/>
      <c r="E92" s="304"/>
      <c r="F92" s="313"/>
      <c r="G92" s="80"/>
      <c r="H92" s="80"/>
      <c r="I92" s="239"/>
      <c r="J92" s="80"/>
      <c r="K92" s="239"/>
      <c r="L92" s="80"/>
      <c r="M92" s="239"/>
      <c r="N92" s="239"/>
      <c r="O92" s="239"/>
      <c r="P92" s="239"/>
    </row>
    <row r="93" s="218" customFormat="true" ht="30" hidden="false" customHeight="true" outlineLevel="0" collapsed="false">
      <c r="A93" s="302" t="n">
        <v>83</v>
      </c>
      <c r="B93" s="303" t="s">
        <v>394</v>
      </c>
      <c r="C93" s="304" t="s">
        <v>395</v>
      </c>
      <c r="D93" s="304"/>
      <c r="E93" s="304"/>
      <c r="F93" s="313"/>
      <c r="G93" s="80"/>
      <c r="H93" s="80"/>
      <c r="I93" s="239"/>
      <c r="J93" s="80"/>
      <c r="K93" s="239"/>
      <c r="L93" s="80"/>
      <c r="M93" s="239"/>
      <c r="N93" s="239"/>
      <c r="O93" s="239"/>
      <c r="P93" s="239"/>
    </row>
    <row r="94" s="218" customFormat="true" ht="30" hidden="false" customHeight="true" outlineLevel="0" collapsed="false">
      <c r="A94" s="302" t="n">
        <v>84</v>
      </c>
      <c r="B94" s="303" t="s">
        <v>396</v>
      </c>
      <c r="C94" s="304" t="s">
        <v>397</v>
      </c>
      <c r="D94" s="304"/>
      <c r="E94" s="304"/>
      <c r="F94" s="313"/>
      <c r="G94" s="80"/>
      <c r="H94" s="80"/>
      <c r="I94" s="239"/>
      <c r="J94" s="80"/>
      <c r="K94" s="239"/>
      <c r="L94" s="80"/>
      <c r="M94" s="239"/>
      <c r="N94" s="239"/>
      <c r="O94" s="239"/>
      <c r="P94" s="239"/>
    </row>
    <row r="95" s="218" customFormat="true" ht="30" hidden="false" customHeight="true" outlineLevel="0" collapsed="false">
      <c r="A95" s="302" t="n">
        <v>85</v>
      </c>
      <c r="B95" s="303" t="s">
        <v>398</v>
      </c>
      <c r="C95" s="304" t="s">
        <v>399</v>
      </c>
      <c r="D95" s="304"/>
      <c r="E95" s="304"/>
      <c r="F95" s="313"/>
      <c r="G95" s="80"/>
      <c r="H95" s="80"/>
      <c r="I95" s="239"/>
      <c r="J95" s="80"/>
      <c r="K95" s="239"/>
      <c r="L95" s="80"/>
      <c r="M95" s="239"/>
      <c r="N95" s="239"/>
      <c r="O95" s="239"/>
      <c r="P95" s="239"/>
    </row>
    <row r="96" s="218" customFormat="true" ht="30" hidden="false" customHeight="true" outlineLevel="0" collapsed="false">
      <c r="A96" s="302" t="n">
        <v>86</v>
      </c>
      <c r="B96" s="303" t="s">
        <v>400</v>
      </c>
      <c r="C96" s="304" t="s">
        <v>401</v>
      </c>
      <c r="D96" s="304"/>
      <c r="E96" s="304"/>
      <c r="F96" s="313"/>
      <c r="G96" s="80"/>
      <c r="H96" s="80"/>
      <c r="I96" s="239"/>
      <c r="J96" s="80"/>
      <c r="K96" s="239"/>
      <c r="L96" s="80"/>
      <c r="M96" s="239"/>
      <c r="N96" s="239"/>
      <c r="O96" s="239"/>
      <c r="P96" s="239"/>
    </row>
    <row r="97" s="218" customFormat="true" ht="30" hidden="false" customHeight="true" outlineLevel="0" collapsed="false">
      <c r="A97" s="302" t="n">
        <v>87</v>
      </c>
      <c r="B97" s="303" t="s">
        <v>402</v>
      </c>
      <c r="C97" s="304" t="s">
        <v>403</v>
      </c>
      <c r="D97" s="304"/>
      <c r="E97" s="304"/>
      <c r="F97" s="313"/>
      <c r="G97" s="80"/>
      <c r="H97" s="80"/>
      <c r="I97" s="239"/>
      <c r="J97" s="80"/>
      <c r="K97" s="239"/>
      <c r="L97" s="80"/>
      <c r="M97" s="239"/>
      <c r="N97" s="239"/>
      <c r="O97" s="239"/>
      <c r="P97" s="239"/>
    </row>
    <row r="98" s="218" customFormat="true" ht="30" hidden="false" customHeight="true" outlineLevel="0" collapsed="false">
      <c r="A98" s="302" t="n">
        <v>88</v>
      </c>
      <c r="B98" s="303" t="s">
        <v>404</v>
      </c>
      <c r="C98" s="304" t="s">
        <v>405</v>
      </c>
      <c r="D98" s="304"/>
      <c r="E98" s="304"/>
      <c r="F98" s="313"/>
      <c r="G98" s="80"/>
      <c r="H98" s="80"/>
      <c r="I98" s="239"/>
      <c r="J98" s="80"/>
      <c r="K98" s="239"/>
      <c r="L98" s="80"/>
      <c r="M98" s="239"/>
      <c r="N98" s="239"/>
      <c r="O98" s="239"/>
      <c r="P98" s="239"/>
    </row>
    <row r="99" s="218" customFormat="true" ht="30" hidden="false" customHeight="true" outlineLevel="0" collapsed="false">
      <c r="A99" s="302" t="n">
        <v>89</v>
      </c>
      <c r="B99" s="303" t="s">
        <v>406</v>
      </c>
      <c r="C99" s="304" t="s">
        <v>407</v>
      </c>
      <c r="D99" s="304"/>
      <c r="E99" s="304"/>
      <c r="F99" s="313"/>
      <c r="G99" s="80"/>
      <c r="H99" s="80"/>
      <c r="I99" s="239"/>
      <c r="J99" s="80"/>
      <c r="K99" s="239"/>
      <c r="L99" s="80"/>
      <c r="M99" s="239"/>
      <c r="N99" s="239"/>
      <c r="O99" s="239"/>
      <c r="P99" s="239"/>
    </row>
    <row r="100" s="218" customFormat="true" ht="30" hidden="false" customHeight="true" outlineLevel="0" collapsed="false">
      <c r="A100" s="302" t="n">
        <v>90</v>
      </c>
      <c r="B100" s="303" t="s">
        <v>408</v>
      </c>
      <c r="C100" s="304" t="s">
        <v>409</v>
      </c>
      <c r="D100" s="304"/>
      <c r="E100" s="304"/>
      <c r="F100" s="313"/>
      <c r="G100" s="80"/>
      <c r="H100" s="80"/>
      <c r="I100" s="239"/>
      <c r="J100" s="80"/>
      <c r="K100" s="239"/>
      <c r="L100" s="80"/>
      <c r="M100" s="239"/>
      <c r="N100" s="239"/>
      <c r="O100" s="239"/>
      <c r="P100" s="239"/>
    </row>
    <row r="101" s="218" customFormat="true" ht="30" hidden="false" customHeight="true" outlineLevel="0" collapsed="false">
      <c r="A101" s="302" t="n">
        <v>91</v>
      </c>
      <c r="B101" s="303" t="s">
        <v>410</v>
      </c>
      <c r="C101" s="304" t="s">
        <v>411</v>
      </c>
      <c r="D101" s="304"/>
      <c r="E101" s="304"/>
      <c r="F101" s="313"/>
      <c r="G101" s="80"/>
      <c r="H101" s="80"/>
      <c r="I101" s="239"/>
      <c r="J101" s="80"/>
      <c r="K101" s="239"/>
      <c r="L101" s="80"/>
      <c r="M101" s="239"/>
      <c r="N101" s="239"/>
      <c r="O101" s="239"/>
      <c r="P101" s="239"/>
    </row>
    <row r="102" customFormat="false" ht="20.25" hidden="false" customHeight="true" outlineLevel="0" collapsed="false">
      <c r="A102" s="281" t="s">
        <v>412</v>
      </c>
      <c r="B102" s="281"/>
      <c r="C102" s="281"/>
      <c r="D102" s="281"/>
      <c r="E102" s="281"/>
      <c r="F102" s="314"/>
      <c r="G102" s="314"/>
      <c r="H102" s="314"/>
      <c r="I102" s="314"/>
      <c r="J102" s="314"/>
      <c r="K102" s="314"/>
      <c r="L102" s="314"/>
      <c r="M102" s="314"/>
      <c r="N102" s="314"/>
      <c r="O102" s="314"/>
      <c r="P102" s="314"/>
    </row>
    <row r="103" customFormat="false" ht="20.25" hidden="false" customHeight="true" outlineLevel="0" collapsed="false">
      <c r="A103" s="281" t="s">
        <v>413</v>
      </c>
      <c r="B103" s="281"/>
      <c r="C103" s="281"/>
      <c r="D103" s="281"/>
      <c r="E103" s="281"/>
      <c r="F103" s="80"/>
      <c r="G103" s="80"/>
      <c r="H103" s="80"/>
      <c r="I103" s="80"/>
      <c r="J103" s="80"/>
      <c r="K103" s="80"/>
      <c r="L103" s="80"/>
      <c r="M103" s="80"/>
      <c r="N103" s="80"/>
      <c r="O103" s="80"/>
      <c r="P103" s="80"/>
    </row>
    <row r="104" customFormat="false" ht="40.5" hidden="false" customHeight="true" outlineLevel="0" collapsed="false">
      <c r="A104" s="175"/>
      <c r="B104" s="175"/>
      <c r="C104" s="315"/>
      <c r="D104" s="315"/>
      <c r="E104" s="315"/>
      <c r="F104" s="5"/>
      <c r="G104" s="5"/>
      <c r="H104" s="5"/>
      <c r="I104" s="5"/>
      <c r="J104" s="5"/>
      <c r="K104" s="315"/>
      <c r="L104" s="315"/>
      <c r="M104" s="315"/>
      <c r="N104" s="315"/>
      <c r="O104" s="315"/>
      <c r="P104" s="175"/>
    </row>
    <row r="105" customFormat="false" ht="12.75" hidden="false" customHeight="true" outlineLevel="0" collapsed="false">
      <c r="A105" s="5"/>
      <c r="B105" s="250" t="str">
        <f aca="false">H4</f>
        <v>Mr. D. S. Gaikwad </v>
      </c>
      <c r="C105" s="250"/>
      <c r="D105" s="250"/>
      <c r="E105" s="250"/>
      <c r="F105" s="316" t="s">
        <v>414</v>
      </c>
      <c r="G105" s="316"/>
      <c r="H105" s="316"/>
      <c r="I105" s="316" t="s">
        <v>415</v>
      </c>
      <c r="J105" s="316"/>
      <c r="K105" s="316"/>
      <c r="L105" s="250" t="str">
        <f aca="false">Data!L18</f>
        <v>Dr. R. S. Bichkar</v>
      </c>
      <c r="M105" s="250"/>
      <c r="N105" s="250"/>
      <c r="O105" s="250"/>
      <c r="P105" s="317"/>
    </row>
    <row r="106" customFormat="false" ht="12.75" hidden="false" customHeight="true" outlineLevel="0" collapsed="false">
      <c r="A106" s="5"/>
      <c r="B106" s="253" t="s">
        <v>59</v>
      </c>
      <c r="C106" s="253"/>
      <c r="D106" s="253"/>
      <c r="E106" s="253"/>
      <c r="F106" s="254" t="s">
        <v>60</v>
      </c>
      <c r="G106" s="254"/>
      <c r="H106" s="254"/>
      <c r="I106" s="253" t="s">
        <v>20</v>
      </c>
      <c r="J106" s="253"/>
      <c r="K106" s="253"/>
      <c r="L106" s="253" t="s">
        <v>61</v>
      </c>
      <c r="M106" s="253"/>
      <c r="N106" s="253"/>
      <c r="O106" s="253"/>
      <c r="P106" s="90"/>
    </row>
  </sheetData>
  <mergeCells count="112">
    <mergeCell ref="C1:P1"/>
    <mergeCell ref="C2:P2"/>
    <mergeCell ref="B3:D3"/>
    <mergeCell ref="B4:G4"/>
    <mergeCell ref="H4:J4"/>
    <mergeCell ref="A6:A10"/>
    <mergeCell ref="B6:B10"/>
    <mergeCell ref="C6:D10"/>
    <mergeCell ref="P6:P9"/>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46:E46"/>
    <mergeCell ref="C47:E47"/>
    <mergeCell ref="C48:E48"/>
    <mergeCell ref="C49:E49"/>
    <mergeCell ref="C50:E50"/>
    <mergeCell ref="C51:E51"/>
    <mergeCell ref="C52:E52"/>
    <mergeCell ref="C53:E53"/>
    <mergeCell ref="C54:E54"/>
    <mergeCell ref="C55:E55"/>
    <mergeCell ref="C56:E56"/>
    <mergeCell ref="C57:E57"/>
    <mergeCell ref="C58:E58"/>
    <mergeCell ref="C59:E59"/>
    <mergeCell ref="C60:E60"/>
    <mergeCell ref="C61:E61"/>
    <mergeCell ref="C62:E62"/>
    <mergeCell ref="C63:E63"/>
    <mergeCell ref="C64:E64"/>
    <mergeCell ref="C65:E65"/>
    <mergeCell ref="C66:E66"/>
    <mergeCell ref="C67:E67"/>
    <mergeCell ref="C68:E68"/>
    <mergeCell ref="C69:E69"/>
    <mergeCell ref="C70:E70"/>
    <mergeCell ref="C71:E71"/>
    <mergeCell ref="C72:E72"/>
    <mergeCell ref="C73:E73"/>
    <mergeCell ref="C74:E74"/>
    <mergeCell ref="C75:E75"/>
    <mergeCell ref="C76:E76"/>
    <mergeCell ref="C77:E77"/>
    <mergeCell ref="C78:E78"/>
    <mergeCell ref="C79:E79"/>
    <mergeCell ref="C80:E80"/>
    <mergeCell ref="C81:E81"/>
    <mergeCell ref="C82:E82"/>
    <mergeCell ref="C83:E83"/>
    <mergeCell ref="C84:E84"/>
    <mergeCell ref="C85:E85"/>
    <mergeCell ref="C86:E86"/>
    <mergeCell ref="C87:E87"/>
    <mergeCell ref="C88:E88"/>
    <mergeCell ref="C89:E89"/>
    <mergeCell ref="C90:E90"/>
    <mergeCell ref="C91:E91"/>
    <mergeCell ref="C92:E92"/>
    <mergeCell ref="C93:E93"/>
    <mergeCell ref="C94:E94"/>
    <mergeCell ref="C95:E95"/>
    <mergeCell ref="C96:E96"/>
    <mergeCell ref="C97:E97"/>
    <mergeCell ref="C98:E98"/>
    <mergeCell ref="C99:E99"/>
    <mergeCell ref="C100:E100"/>
    <mergeCell ref="C101:E101"/>
    <mergeCell ref="A102:E102"/>
    <mergeCell ref="A103:E103"/>
    <mergeCell ref="C104:E104"/>
    <mergeCell ref="K104:O104"/>
    <mergeCell ref="B105:E105"/>
    <mergeCell ref="F105:H105"/>
    <mergeCell ref="I105:K105"/>
    <mergeCell ref="L105:O105"/>
    <mergeCell ref="B106:E106"/>
    <mergeCell ref="F106:H106"/>
    <mergeCell ref="I106:K106"/>
    <mergeCell ref="L106:O106"/>
  </mergeCells>
  <dataValidations count="1">
    <dataValidation allowBlank="true" operator="between" showDropDown="false" showErrorMessage="true" showInputMessage="false" sqref="P4" type="list">
      <formula1>"THEORY,ACTIVITY,SELF STUDY,GENERAL"</formula1>
      <formula2>0</formula2>
    </dataValidation>
  </dataValidations>
  <printOptions headings="false" gridLines="false" gridLinesSet="true" horizontalCentered="false" verticalCentered="false"/>
  <pageMargins left="0.920138888888889" right="0.170138888888889" top="0.3" bottom="0.170138888888889" header="0.511805555555555" footer="0.511805555555555"/>
  <pageSetup paperSize="9" scale="100" firstPageNumber="0" fitToWidth="1" fitToHeight="2"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true"/>
  </sheetPr>
  <dimension ref="A1:AJ10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2" min="1" style="0" width="5.28"/>
    <col collapsed="false" customWidth="true" hidden="false" outlineLevel="0" max="3" min="3" style="0" width="8.57"/>
    <col collapsed="false" customWidth="true" hidden="false" outlineLevel="0" max="4" min="4" style="0" width="6.15"/>
    <col collapsed="false" customWidth="true" hidden="false" outlineLevel="0" max="5" min="5" style="0" width="5.57"/>
    <col collapsed="false" customWidth="true" hidden="false" outlineLevel="0" max="6" min="6" style="0" width="8.71"/>
    <col collapsed="false" customWidth="true" hidden="false" outlineLevel="0" max="7" min="7" style="0" width="6.86"/>
    <col collapsed="false" customWidth="true" hidden="false" outlineLevel="0" max="8" min="8" style="0" width="34.86"/>
    <col collapsed="false" customWidth="true" hidden="false" outlineLevel="0" max="9" min="9" style="0" width="3.57"/>
    <col collapsed="false" customWidth="false" hidden="false" outlineLevel="0" max="10" min="10" style="0" width="11.57"/>
    <col collapsed="false" customWidth="true" hidden="false" outlineLevel="0" max="11" min="11" style="0" width="12.14"/>
    <col collapsed="false" customWidth="true" hidden="false" outlineLevel="0" max="12" min="12" style="0" width="14.01"/>
    <col collapsed="false" customWidth="true" hidden="false" outlineLevel="0" max="13" min="13" style="0" width="29.14"/>
    <col collapsed="false" customWidth="true" hidden="false" outlineLevel="0" max="14" min="14" style="0" width="23.42"/>
    <col collapsed="false" customWidth="true" hidden="false" outlineLevel="0" max="15" min="15" style="0" width="15.57"/>
    <col collapsed="false" customWidth="true" hidden="false" outlineLevel="0" max="16" min="16" style="0" width="9"/>
    <col collapsed="false" customWidth="true" hidden="false" outlineLevel="0" max="17" min="17" style="0" width="7.29"/>
    <col collapsed="false" customWidth="true" hidden="false" outlineLevel="0" max="18" min="18" style="0" width="6.71"/>
    <col collapsed="false" customWidth="true" hidden="false" outlineLevel="0" max="19" min="19" style="0" width="7.29"/>
    <col collapsed="false" customWidth="true" hidden="false" outlineLevel="0" max="20" min="20" style="0" width="9.29"/>
    <col collapsed="false" customWidth="true" hidden="false" outlineLevel="0" max="21" min="21" style="0" width="5.43"/>
    <col collapsed="false" customWidth="true" hidden="false" outlineLevel="0" max="22" min="22" style="0" width="6.71"/>
    <col collapsed="false" customWidth="true" hidden="false" outlineLevel="0" max="23" min="23" style="0" width="21.43"/>
    <col collapsed="false" customWidth="false" hidden="false" outlineLevel="0" max="36" min="24" style="0" width="11.57"/>
    <col collapsed="false" customWidth="true" hidden="false" outlineLevel="0" max="1025" min="37" style="0" width="14.43"/>
  </cols>
  <sheetData>
    <row r="1" customFormat="false" ht="15.75" hidden="false" customHeight="true" outlineLevel="0" collapsed="false">
      <c r="A1" s="171"/>
      <c r="B1" s="1" t="str">
        <f aca="false">Data!A1</f>
        <v>Vidya Pratishthan’s Kamalnayan Bajaj Institute of Engineering &amp; Technology, Baramati</v>
      </c>
      <c r="C1" s="1"/>
      <c r="D1" s="1"/>
      <c r="E1" s="1"/>
      <c r="F1" s="1"/>
      <c r="G1" s="1"/>
      <c r="H1" s="1"/>
      <c r="I1" s="1"/>
      <c r="J1" s="1"/>
      <c r="K1" s="1"/>
      <c r="L1" s="1"/>
      <c r="M1" s="1"/>
      <c r="N1" s="1"/>
      <c r="O1" s="1"/>
      <c r="P1" s="1"/>
      <c r="Q1" s="1"/>
      <c r="R1" s="1"/>
      <c r="S1" s="1"/>
      <c r="T1" s="1"/>
      <c r="U1" s="1"/>
      <c r="V1" s="1"/>
      <c r="W1" s="1"/>
      <c r="X1" s="1"/>
      <c r="Y1" s="1"/>
      <c r="Z1" s="171"/>
      <c r="AA1" s="171"/>
      <c r="AB1" s="171"/>
      <c r="AC1" s="171"/>
      <c r="AD1" s="171"/>
      <c r="AE1" s="171"/>
      <c r="AF1" s="171"/>
      <c r="AG1" s="171"/>
      <c r="AH1" s="171"/>
      <c r="AI1" s="171"/>
      <c r="AJ1" s="171"/>
    </row>
    <row r="2" customFormat="false" ht="15.75" hidden="false" customHeight="true" outlineLevel="0" collapsed="false">
      <c r="A2" s="4"/>
      <c r="B2" s="3" t="s">
        <v>416</v>
      </c>
      <c r="C2" s="3"/>
      <c r="D2" s="3"/>
      <c r="E2" s="3"/>
      <c r="F2" s="3"/>
      <c r="G2" s="3"/>
      <c r="H2" s="3"/>
      <c r="I2" s="3"/>
      <c r="J2" s="3"/>
      <c r="K2" s="3"/>
      <c r="L2" s="3"/>
      <c r="M2" s="3"/>
      <c r="N2" s="3"/>
      <c r="O2" s="3"/>
      <c r="P2" s="3"/>
      <c r="Q2" s="3"/>
      <c r="R2" s="3"/>
      <c r="S2" s="3"/>
      <c r="T2" s="3"/>
      <c r="U2" s="3"/>
      <c r="V2" s="3"/>
      <c r="W2" s="3"/>
      <c r="X2" s="3"/>
      <c r="Y2" s="3"/>
      <c r="Z2" s="4"/>
      <c r="AA2" s="4"/>
      <c r="AB2" s="4"/>
      <c r="AC2" s="4"/>
      <c r="AD2" s="4"/>
      <c r="AE2" s="4"/>
      <c r="AF2" s="4"/>
      <c r="AG2" s="4"/>
      <c r="AH2" s="4"/>
      <c r="AI2" s="4"/>
      <c r="AJ2" s="4"/>
    </row>
    <row r="3" customFormat="false" ht="15.75" hidden="false" customHeight="true" outlineLevel="0" collapsed="false">
      <c r="A3" s="171"/>
      <c r="B3" s="1" t="str">
        <f aca="false">Data!B19 &amp; " Semester, " &amp; Data!B18</f>
        <v>First Semester, 2019-20</v>
      </c>
      <c r="C3" s="1"/>
      <c r="D3" s="1"/>
      <c r="E3" s="1"/>
      <c r="F3" s="1"/>
      <c r="G3" s="1"/>
      <c r="H3" s="1"/>
      <c r="I3" s="1"/>
      <c r="J3" s="1"/>
      <c r="K3" s="1"/>
      <c r="L3" s="1"/>
      <c r="M3" s="1"/>
      <c r="N3" s="1"/>
      <c r="O3" s="1"/>
      <c r="P3" s="1"/>
      <c r="Q3" s="1"/>
      <c r="R3" s="1"/>
      <c r="S3" s="1"/>
      <c r="T3" s="1"/>
      <c r="U3" s="1"/>
      <c r="V3" s="1"/>
      <c r="W3" s="1"/>
      <c r="X3" s="1"/>
      <c r="Y3" s="1"/>
      <c r="Z3" s="171"/>
      <c r="AA3" s="171"/>
      <c r="AB3" s="171"/>
      <c r="AC3" s="171"/>
      <c r="AD3" s="171"/>
      <c r="AE3" s="171"/>
      <c r="AF3" s="171"/>
      <c r="AG3" s="171"/>
      <c r="AH3" s="171"/>
      <c r="AI3" s="171"/>
      <c r="AJ3" s="171"/>
    </row>
    <row r="4" customFormat="false" ht="15.75" hidden="false" customHeight="true" outlineLevel="0" collapsed="false">
      <c r="A4" s="73"/>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customFormat="false" ht="15.75" hidden="false" customHeight="true" outlineLevel="0" collapsed="false">
      <c r="A5" s="318" t="s">
        <v>105</v>
      </c>
      <c r="B5" s="319" t="s">
        <v>417</v>
      </c>
      <c r="C5" s="319" t="s">
        <v>418</v>
      </c>
      <c r="D5" s="319" t="s">
        <v>419</v>
      </c>
      <c r="E5" s="319" t="s">
        <v>420</v>
      </c>
      <c r="F5" s="319" t="s">
        <v>209</v>
      </c>
      <c r="G5" s="319" t="s">
        <v>421</v>
      </c>
      <c r="H5" s="319" t="s">
        <v>422</v>
      </c>
      <c r="I5" s="319" t="s">
        <v>423</v>
      </c>
      <c r="J5" s="319" t="s">
        <v>424</v>
      </c>
      <c r="K5" s="319" t="s">
        <v>425</v>
      </c>
      <c r="L5" s="319" t="s">
        <v>426</v>
      </c>
      <c r="M5" s="319" t="s">
        <v>427</v>
      </c>
      <c r="N5" s="319" t="s">
        <v>428</v>
      </c>
      <c r="O5" s="319" t="s">
        <v>429</v>
      </c>
      <c r="P5" s="319" t="s">
        <v>430</v>
      </c>
      <c r="Q5" s="319" t="s">
        <v>431</v>
      </c>
      <c r="R5" s="319" t="s">
        <v>432</v>
      </c>
      <c r="S5" s="319" t="s">
        <v>433</v>
      </c>
      <c r="T5" s="319" t="s">
        <v>434</v>
      </c>
      <c r="U5" s="319" t="s">
        <v>435</v>
      </c>
      <c r="V5" s="319" t="s">
        <v>436</v>
      </c>
      <c r="W5" s="319" t="s">
        <v>437</v>
      </c>
      <c r="X5" s="319" t="s">
        <v>438</v>
      </c>
      <c r="Y5" s="319" t="s">
        <v>439</v>
      </c>
      <c r="Z5" s="317"/>
      <c r="AA5" s="317"/>
      <c r="AB5" s="317"/>
      <c r="AC5" s="317"/>
      <c r="AD5" s="317"/>
      <c r="AE5" s="317"/>
      <c r="AF5" s="317"/>
      <c r="AG5" s="317"/>
      <c r="AH5" s="317"/>
      <c r="AI5" s="317"/>
      <c r="AJ5" s="317"/>
    </row>
    <row r="6" customFormat="false" ht="15.75" hidden="false" customHeight="true" outlineLevel="0" collapsed="false">
      <c r="A6" s="80" t="n">
        <v>1</v>
      </c>
      <c r="B6" s="320" t="n">
        <f aca="false">IFERROR(__xludf.dummyfunction("filter(importrange(Data!B60, ""Student!B6:Y200""), index(importrange(Data!B60, ""Student!E6:E200""))=Data!B7)"),939)</f>
        <v>939</v>
      </c>
      <c r="C6" s="321" t="str">
        <f aca="false">IFERROR(__xludf.dummyfunction("""COMPUTED_VALUE"""),"COMP")</f>
        <v>COMP</v>
      </c>
      <c r="D6" s="321" t="str">
        <f aca="false">IFERROR(__xludf.dummyfunction("""COMPUTED_VALUE"""),"SE")</f>
        <v>SE</v>
      </c>
      <c r="E6" s="321" t="str">
        <f aca="false">IFERROR(__xludf.dummyfunction("""COMPUTED_VALUE"""),"")</f>
        <v/>
      </c>
      <c r="F6" s="321" t="n">
        <f aca="false">IFERROR(__xludf.dummyfunction("""COMPUTED_VALUE"""),1821001)</f>
        <v>1821001</v>
      </c>
      <c r="G6" s="321" t="str">
        <f aca="false">IFERROR(__xludf.dummyfunction("""COMPUTED_VALUE"""),"Ms.")</f>
        <v>Ms.</v>
      </c>
      <c r="H6" s="322" t="str">
        <f aca="false">IFERROR(__xludf.dummyfunction("""COMPUTED_VALUE"""),"Adsul Swaranjali Jalindar")</f>
        <v>Adsul Swaranjali Jalindar</v>
      </c>
      <c r="I6" s="321" t="str">
        <f aca="false">IFERROR(__xludf.dummyfunction("""COMPUTED_VALUE"""),"")</f>
        <v/>
      </c>
      <c r="J6" s="322" t="str">
        <f aca="false">IFERROR(__xludf.dummyfunction("""COMPUTED_VALUE"""),"Adsul")</f>
        <v>Adsul</v>
      </c>
      <c r="K6" s="322" t="str">
        <f aca="false">IFERROR(__xludf.dummyfunction("""COMPUTED_VALUE"""),"Swaranjali")</f>
        <v>Swaranjali</v>
      </c>
      <c r="L6" s="322" t="str">
        <f aca="false">IFERROR(__xludf.dummyfunction("""COMPUTED_VALUE"""),"Jalindar")</f>
        <v>Jalindar</v>
      </c>
      <c r="M6" s="322" t="str">
        <f aca="false">IFERROR(__xludf.dummyfunction("""COMPUTED_VALUE"""),"Adsul Swaranjali Jalindar")</f>
        <v>Adsul Swaranjali Jalindar</v>
      </c>
      <c r="N6" s="322" t="str">
        <f aca="false">IFERROR(__xludf.dummyfunction("""COMPUTED_VALUE"""),"Adsul Swaranjali J.")</f>
        <v>Adsul Swaranjali J.</v>
      </c>
      <c r="O6" s="322" t="str">
        <f aca="false">IFERROR(__xludf.dummyfunction("""COMPUTED_VALUE"""),"Adsul S. J.")</f>
        <v>Adsul S. J.</v>
      </c>
      <c r="P6" s="321" t="str">
        <f aca="false">IFERROR(__xludf.dummyfunction("""COMPUTED_VALUE"""),"REG")</f>
        <v>REG</v>
      </c>
      <c r="Q6" s="322" t="str">
        <f aca="false">IFERROR(__xludf.dummyfunction("""COMPUTED_VALUE"""),"")</f>
        <v/>
      </c>
      <c r="R6" s="322" t="str">
        <f aca="false">IFERROR(__xludf.dummyfunction("""COMPUTED_VALUE"""),"")</f>
        <v/>
      </c>
      <c r="S6" s="322" t="str">
        <f aca="false">IFERROR(__xludf.dummyfunction("""COMPUTED_VALUE"""),"")</f>
        <v/>
      </c>
      <c r="T6" s="321" t="str">
        <f aca="false">IFERROR(__xludf.dummyfunction("""COMPUTED_VALUE"""),"OBC")</f>
        <v>OBC</v>
      </c>
      <c r="U6" s="321" t="str">
        <f aca="false">IFERROR(__xludf.dummyfunction("""COMPUTED_VALUE"""),"F")</f>
        <v>F</v>
      </c>
      <c r="V6" s="321" t="n">
        <f aca="false">IFERROR(__xludf.dummyfunction("""COMPUTED_VALUE"""),2017)</f>
        <v>2017</v>
      </c>
      <c r="W6" s="322" t="str">
        <f aca="false">IFERROR(__xludf.dummyfunction("""COMPUTED_VALUE"""),"A/P-Lalgun Tal-Khatav Dist-Satara-415503, M-9665543472")</f>
        <v>A/P-Lalgun Tal-Khatav Dist-Satara-415503, M-9665543472</v>
      </c>
      <c r="X6" s="321" t="n">
        <f aca="false">IFERROR(__xludf.dummyfunction("""COMPUTED_VALUE"""),9665543472)</f>
        <v>9665543472</v>
      </c>
      <c r="Y6" s="321" t="n">
        <f aca="false">IFERROR(__xludf.dummyfunction("""COMPUTED_VALUE"""),9689526983)</f>
        <v>9689526983</v>
      </c>
      <c r="Z6" s="175"/>
      <c r="AA6" s="175"/>
      <c r="AB6" s="175"/>
      <c r="AC6" s="175"/>
      <c r="AD6" s="175"/>
      <c r="AE6" s="175"/>
      <c r="AF6" s="175"/>
      <c r="AG6" s="175"/>
      <c r="AH6" s="175"/>
      <c r="AI6" s="175"/>
      <c r="AJ6" s="175"/>
    </row>
    <row r="7" customFormat="false" ht="15.75" hidden="false" customHeight="true" outlineLevel="0" collapsed="false">
      <c r="A7" s="80" t="n">
        <v>2</v>
      </c>
      <c r="B7" s="323" t="n">
        <f aca="false">IFERROR(__xludf.dummyfunction("""COMPUTED_VALUE"""),940)</f>
        <v>940</v>
      </c>
      <c r="C7" s="321" t="str">
        <f aca="false">IFERROR(__xludf.dummyfunction("""COMPUTED_VALUE"""),"COMP")</f>
        <v>COMP</v>
      </c>
      <c r="D7" s="321" t="str">
        <f aca="false">IFERROR(__xludf.dummyfunction("""COMPUTED_VALUE"""),"SE")</f>
        <v>SE</v>
      </c>
      <c r="E7" s="321" t="str">
        <f aca="false">IFERROR(__xludf.dummyfunction("""COMPUTED_VALUE"""),"")</f>
        <v/>
      </c>
      <c r="F7" s="321" t="n">
        <f aca="false">IFERROR(__xludf.dummyfunction("""COMPUTED_VALUE"""),1821003)</f>
        <v>1821003</v>
      </c>
      <c r="G7" s="321" t="str">
        <f aca="false">IFERROR(__xludf.dummyfunction("""COMPUTED_VALUE"""),"Mr.")</f>
        <v>Mr.</v>
      </c>
      <c r="H7" s="322" t="str">
        <f aca="false">IFERROR(__xludf.dummyfunction("""COMPUTED_VALUE"""),"Bhosale Shubham Jagannath")</f>
        <v>Bhosale Shubham Jagannath</v>
      </c>
      <c r="I7" s="321" t="str">
        <f aca="false">IFERROR(__xludf.dummyfunction("""COMPUTED_VALUE"""),"")</f>
        <v/>
      </c>
      <c r="J7" s="322" t="str">
        <f aca="false">IFERROR(__xludf.dummyfunction("""COMPUTED_VALUE"""),"Bhosale")</f>
        <v>Bhosale</v>
      </c>
      <c r="K7" s="322" t="str">
        <f aca="false">IFERROR(__xludf.dummyfunction("""COMPUTED_VALUE"""),"Shubham")</f>
        <v>Shubham</v>
      </c>
      <c r="L7" s="322" t="str">
        <f aca="false">IFERROR(__xludf.dummyfunction("""COMPUTED_VALUE"""),"Jagannath")</f>
        <v>Jagannath</v>
      </c>
      <c r="M7" s="322" t="str">
        <f aca="false">IFERROR(__xludf.dummyfunction("""COMPUTED_VALUE"""),"Bhosale Shubham Jagannath")</f>
        <v>Bhosale Shubham Jagannath</v>
      </c>
      <c r="N7" s="322" t="str">
        <f aca="false">IFERROR(__xludf.dummyfunction("""COMPUTED_VALUE"""),"Bhosale Shubham J.")</f>
        <v>Bhosale Shubham J.</v>
      </c>
      <c r="O7" s="322" t="str">
        <f aca="false">IFERROR(__xludf.dummyfunction("""COMPUTED_VALUE"""),"Bhosale S. J.")</f>
        <v>Bhosale S. J.</v>
      </c>
      <c r="P7" s="321" t="str">
        <f aca="false">IFERROR(__xludf.dummyfunction("""COMPUTED_VALUE"""),"REG")</f>
        <v>REG</v>
      </c>
      <c r="Q7" s="322" t="str">
        <f aca="false">IFERROR(__xludf.dummyfunction("""COMPUTED_VALUE"""),"")</f>
        <v/>
      </c>
      <c r="R7" s="322" t="str">
        <f aca="false">IFERROR(__xludf.dummyfunction("""COMPUTED_VALUE"""),"")</f>
        <v/>
      </c>
      <c r="S7" s="322" t="str">
        <f aca="false">IFERROR(__xludf.dummyfunction("""COMPUTED_VALUE"""),"")</f>
        <v/>
      </c>
      <c r="T7" s="321" t="str">
        <f aca="false">IFERROR(__xludf.dummyfunction("""COMPUTED_VALUE"""),"OPEN")</f>
        <v>OPEN</v>
      </c>
      <c r="U7" s="321" t="str">
        <f aca="false">IFERROR(__xludf.dummyfunction("""COMPUTED_VALUE"""),"M")</f>
        <v>M</v>
      </c>
      <c r="V7" s="321" t="n">
        <f aca="false">IFERROR(__xludf.dummyfunction("""COMPUTED_VALUE"""),2017)</f>
        <v>2017</v>
      </c>
      <c r="W7" s="322" t="str">
        <f aca="false">IFERROR(__xludf.dummyfunction("""COMPUTED_VALUE"""),"At Kolawadi Post Revadi Tal.Koregaon Dist. Satara-415011")</f>
        <v>At Kolawadi Post Revadi Tal.Koregaon Dist. Satara-415011</v>
      </c>
      <c r="X7" s="321" t="n">
        <f aca="false">IFERROR(__xludf.dummyfunction("""COMPUTED_VALUE"""),9850538606)</f>
        <v>9850538606</v>
      </c>
      <c r="Y7" s="321" t="n">
        <f aca="false">IFERROR(__xludf.dummyfunction("""COMPUTED_VALUE"""),7378982965)</f>
        <v>7378982965</v>
      </c>
      <c r="Z7" s="175"/>
      <c r="AA7" s="175"/>
      <c r="AB7" s="175"/>
      <c r="AC7" s="175"/>
      <c r="AD7" s="175"/>
      <c r="AE7" s="175"/>
      <c r="AF7" s="175"/>
      <c r="AG7" s="175"/>
      <c r="AH7" s="175"/>
      <c r="AI7" s="175"/>
      <c r="AJ7" s="175"/>
    </row>
    <row r="8" customFormat="false" ht="15.75" hidden="false" customHeight="true" outlineLevel="0" collapsed="false">
      <c r="A8" s="80" t="n">
        <v>3</v>
      </c>
      <c r="B8" s="323" t="n">
        <f aca="false">IFERROR(__xludf.dummyfunction("""COMPUTED_VALUE"""),941)</f>
        <v>941</v>
      </c>
      <c r="C8" s="321" t="str">
        <f aca="false">IFERROR(__xludf.dummyfunction("""COMPUTED_VALUE"""),"COMP")</f>
        <v>COMP</v>
      </c>
      <c r="D8" s="321" t="str">
        <f aca="false">IFERROR(__xludf.dummyfunction("""COMPUTED_VALUE"""),"SE")</f>
        <v>SE</v>
      </c>
      <c r="E8" s="321" t="str">
        <f aca="false">IFERROR(__xludf.dummyfunction("""COMPUTED_VALUE"""),"")</f>
        <v/>
      </c>
      <c r="F8" s="321" t="n">
        <f aca="false">IFERROR(__xludf.dummyfunction("""COMPUTED_VALUE"""),1821006)</f>
        <v>1821006</v>
      </c>
      <c r="G8" s="321" t="str">
        <f aca="false">IFERROR(__xludf.dummyfunction("""COMPUTED_VALUE"""),"Mr.")</f>
        <v>Mr.</v>
      </c>
      <c r="H8" s="322" t="str">
        <f aca="false">IFERROR(__xludf.dummyfunction("""COMPUTED_VALUE"""),"Birajdar Kiran Shrishailya")</f>
        <v>Birajdar Kiran Shrishailya</v>
      </c>
      <c r="I8" s="321" t="str">
        <f aca="false">IFERROR(__xludf.dummyfunction("""COMPUTED_VALUE"""),"")</f>
        <v/>
      </c>
      <c r="J8" s="322" t="str">
        <f aca="false">IFERROR(__xludf.dummyfunction("""COMPUTED_VALUE"""),"Birajdar")</f>
        <v>Birajdar</v>
      </c>
      <c r="K8" s="322" t="str">
        <f aca="false">IFERROR(__xludf.dummyfunction("""COMPUTED_VALUE"""),"Kiran")</f>
        <v>Kiran</v>
      </c>
      <c r="L8" s="322" t="str">
        <f aca="false">IFERROR(__xludf.dummyfunction("""COMPUTED_VALUE"""),"Shrishailya")</f>
        <v>Shrishailya</v>
      </c>
      <c r="M8" s="322" t="str">
        <f aca="false">IFERROR(__xludf.dummyfunction("""COMPUTED_VALUE"""),"Birajdar Kiran Shrishailya")</f>
        <v>Birajdar Kiran Shrishailya</v>
      </c>
      <c r="N8" s="322" t="str">
        <f aca="false">IFERROR(__xludf.dummyfunction("""COMPUTED_VALUE"""),"Birajdar Kiran S.")</f>
        <v>Birajdar Kiran S.</v>
      </c>
      <c r="O8" s="322" t="str">
        <f aca="false">IFERROR(__xludf.dummyfunction("""COMPUTED_VALUE"""),"Birajdar K. S.")</f>
        <v>Birajdar K. S.</v>
      </c>
      <c r="P8" s="321" t="str">
        <f aca="false">IFERROR(__xludf.dummyfunction("""COMPUTED_VALUE"""),"REG")</f>
        <v>REG</v>
      </c>
      <c r="Q8" s="322" t="str">
        <f aca="false">IFERROR(__xludf.dummyfunction("""COMPUTED_VALUE"""),"")</f>
        <v/>
      </c>
      <c r="R8" s="322" t="str">
        <f aca="false">IFERROR(__xludf.dummyfunction("""COMPUTED_VALUE"""),"")</f>
        <v/>
      </c>
      <c r="S8" s="322" t="str">
        <f aca="false">IFERROR(__xludf.dummyfunction("""COMPUTED_VALUE"""),"")</f>
        <v/>
      </c>
      <c r="T8" s="321" t="str">
        <f aca="false">IFERROR(__xludf.dummyfunction("""COMPUTED_VALUE"""),"OPEN")</f>
        <v>OPEN</v>
      </c>
      <c r="U8" s="321" t="str">
        <f aca="false">IFERROR(__xludf.dummyfunction("""COMPUTED_VALUE"""),"M")</f>
        <v>M</v>
      </c>
      <c r="V8" s="321" t="n">
        <f aca="false">IFERROR(__xludf.dummyfunction("""COMPUTED_VALUE"""),2017)</f>
        <v>2017</v>
      </c>
      <c r="W8" s="322" t="str">
        <f aca="false">IFERROR(__xludf.dummyfunction("""COMPUTED_VALUE"""),"Aai Niwas, Near S.T. Colony, Nilanga, Dist. Latur-413521")</f>
        <v>Aai Niwas, Near S.T. Colony, Nilanga, Dist. Latur-413521</v>
      </c>
      <c r="X8" s="321" t="n">
        <f aca="false">IFERROR(__xludf.dummyfunction("""COMPUTED_VALUE"""),9423349526)</f>
        <v>9423349526</v>
      </c>
      <c r="Y8" s="321" t="n">
        <f aca="false">IFERROR(__xludf.dummyfunction("""COMPUTED_VALUE"""),8421240066)</f>
        <v>8421240066</v>
      </c>
      <c r="Z8" s="175"/>
      <c r="AA8" s="175"/>
      <c r="AB8" s="175"/>
      <c r="AC8" s="175"/>
      <c r="AD8" s="175"/>
      <c r="AE8" s="175"/>
      <c r="AF8" s="175"/>
      <c r="AG8" s="175"/>
      <c r="AH8" s="175"/>
      <c r="AI8" s="175"/>
      <c r="AJ8" s="175"/>
    </row>
    <row r="9" customFormat="false" ht="15.75" hidden="false" customHeight="true" outlineLevel="0" collapsed="false">
      <c r="A9" s="80" t="n">
        <v>4</v>
      </c>
      <c r="B9" s="323" t="n">
        <f aca="false">IFERROR(__xludf.dummyfunction("""COMPUTED_VALUE"""),942)</f>
        <v>942</v>
      </c>
      <c r="C9" s="321" t="str">
        <f aca="false">IFERROR(__xludf.dummyfunction("""COMPUTED_VALUE"""),"COMP")</f>
        <v>COMP</v>
      </c>
      <c r="D9" s="321" t="str">
        <f aca="false">IFERROR(__xludf.dummyfunction("""COMPUTED_VALUE"""),"SE")</f>
        <v>SE</v>
      </c>
      <c r="E9" s="321" t="str">
        <f aca="false">IFERROR(__xludf.dummyfunction("""COMPUTED_VALUE"""),"")</f>
        <v/>
      </c>
      <c r="F9" s="321" t="n">
        <f aca="false">IFERROR(__xludf.dummyfunction("""COMPUTED_VALUE"""),1821008)</f>
        <v>1821008</v>
      </c>
      <c r="G9" s="321" t="str">
        <f aca="false">IFERROR(__xludf.dummyfunction("""COMPUTED_VALUE"""),"Ms.")</f>
        <v>Ms.</v>
      </c>
      <c r="H9" s="322" t="str">
        <f aca="false">IFERROR(__xludf.dummyfunction("""COMPUTED_VALUE"""),"Dadar Sujata Kamal")</f>
        <v>Dadar Sujata Kamal</v>
      </c>
      <c r="I9" s="321" t="str">
        <f aca="false">IFERROR(__xludf.dummyfunction("""COMPUTED_VALUE"""),"")</f>
        <v/>
      </c>
      <c r="J9" s="322" t="str">
        <f aca="false">IFERROR(__xludf.dummyfunction("""COMPUTED_VALUE"""),"Dadar")</f>
        <v>Dadar</v>
      </c>
      <c r="K9" s="322" t="str">
        <f aca="false">IFERROR(__xludf.dummyfunction("""COMPUTED_VALUE"""),"Sujata")</f>
        <v>Sujata</v>
      </c>
      <c r="L9" s="322" t="str">
        <f aca="false">IFERROR(__xludf.dummyfunction("""COMPUTED_VALUE"""),"Kamal")</f>
        <v>Kamal</v>
      </c>
      <c r="M9" s="322" t="str">
        <f aca="false">IFERROR(__xludf.dummyfunction("""COMPUTED_VALUE"""),"Dadar Sujata Kamal")</f>
        <v>Dadar Sujata Kamal</v>
      </c>
      <c r="N9" s="322" t="str">
        <f aca="false">IFERROR(__xludf.dummyfunction("""COMPUTED_VALUE"""),"Dadar Sujata K.")</f>
        <v>Dadar Sujata K.</v>
      </c>
      <c r="O9" s="322" t="str">
        <f aca="false">IFERROR(__xludf.dummyfunction("""COMPUTED_VALUE"""),"Dadar S. K.")</f>
        <v>Dadar S. K.</v>
      </c>
      <c r="P9" s="321" t="str">
        <f aca="false">IFERROR(__xludf.dummyfunction("""COMPUTED_VALUE"""),"REG")</f>
        <v>REG</v>
      </c>
      <c r="Q9" s="322" t="str">
        <f aca="false">IFERROR(__xludf.dummyfunction("""COMPUTED_VALUE"""),"")</f>
        <v/>
      </c>
      <c r="R9" s="322" t="str">
        <f aca="false">IFERROR(__xludf.dummyfunction("""COMPUTED_VALUE"""),"")</f>
        <v/>
      </c>
      <c r="S9" s="322" t="str">
        <f aca="false">IFERROR(__xludf.dummyfunction("""COMPUTED_VALUE"""),"")</f>
        <v/>
      </c>
      <c r="T9" s="321" t="str">
        <f aca="false">IFERROR(__xludf.dummyfunction("""COMPUTED_VALUE"""),"SC")</f>
        <v>SC</v>
      </c>
      <c r="U9" s="321" t="str">
        <f aca="false">IFERROR(__xludf.dummyfunction("""COMPUTED_VALUE"""),"F")</f>
        <v>F</v>
      </c>
      <c r="V9" s="321" t="n">
        <f aca="false">IFERROR(__xludf.dummyfunction("""COMPUTED_VALUE"""),2017)</f>
        <v>2017</v>
      </c>
      <c r="W9" s="322" t="str">
        <f aca="false">IFERROR(__xludf.dummyfunction("""COMPUTED_VALUE"""),"At Chauphula Post Boripardhi Tal. Daund Dist Pune-412203")</f>
        <v>At Chauphula Post Boripardhi Tal. Daund Dist Pune-412203</v>
      </c>
      <c r="X9" s="321" t="n">
        <f aca="false">IFERROR(__xludf.dummyfunction("""COMPUTED_VALUE"""),9890798846)</f>
        <v>9890798846</v>
      </c>
      <c r="Y9" s="321" t="n">
        <f aca="false">IFERROR(__xludf.dummyfunction("""COMPUTED_VALUE"""),9766881946)</f>
        <v>9766881946</v>
      </c>
      <c r="Z9" s="175"/>
      <c r="AA9" s="175"/>
      <c r="AB9" s="175"/>
      <c r="AC9" s="175"/>
      <c r="AD9" s="175"/>
      <c r="AE9" s="175"/>
      <c r="AF9" s="175"/>
      <c r="AG9" s="175"/>
      <c r="AH9" s="175"/>
      <c r="AI9" s="175"/>
      <c r="AJ9" s="175"/>
    </row>
    <row r="10" customFormat="false" ht="15.75" hidden="false" customHeight="true" outlineLevel="0" collapsed="false">
      <c r="A10" s="80" t="n">
        <v>5</v>
      </c>
      <c r="B10" s="323" t="n">
        <f aca="false">IFERROR(__xludf.dummyfunction("""COMPUTED_VALUE"""),943)</f>
        <v>943</v>
      </c>
      <c r="C10" s="321" t="str">
        <f aca="false">IFERROR(__xludf.dummyfunction("""COMPUTED_VALUE"""),"COMP")</f>
        <v>COMP</v>
      </c>
      <c r="D10" s="321" t="str">
        <f aca="false">IFERROR(__xludf.dummyfunction("""COMPUTED_VALUE"""),"SE")</f>
        <v>SE</v>
      </c>
      <c r="E10" s="321" t="str">
        <f aca="false">IFERROR(__xludf.dummyfunction("""COMPUTED_VALUE"""),"")</f>
        <v/>
      </c>
      <c r="F10" s="321" t="n">
        <f aca="false">IFERROR(__xludf.dummyfunction("""COMPUTED_VALUE"""),1821009)</f>
        <v>1821009</v>
      </c>
      <c r="G10" s="321" t="str">
        <f aca="false">IFERROR(__xludf.dummyfunction("""COMPUTED_VALUE"""),"Ms.")</f>
        <v>Ms.</v>
      </c>
      <c r="H10" s="322" t="str">
        <f aca="false">IFERROR(__xludf.dummyfunction("""COMPUTED_VALUE"""),"Dagade Shruti Dattatray")</f>
        <v>Dagade Shruti Dattatray</v>
      </c>
      <c r="I10" s="321" t="str">
        <f aca="false">IFERROR(__xludf.dummyfunction("""COMPUTED_VALUE"""),"")</f>
        <v/>
      </c>
      <c r="J10" s="322" t="str">
        <f aca="false">IFERROR(__xludf.dummyfunction("""COMPUTED_VALUE"""),"Dagade")</f>
        <v>Dagade</v>
      </c>
      <c r="K10" s="322" t="str">
        <f aca="false">IFERROR(__xludf.dummyfunction("""COMPUTED_VALUE"""),"Shruti")</f>
        <v>Shruti</v>
      </c>
      <c r="L10" s="322" t="str">
        <f aca="false">IFERROR(__xludf.dummyfunction("""COMPUTED_VALUE"""),"Dattatray")</f>
        <v>Dattatray</v>
      </c>
      <c r="M10" s="322" t="str">
        <f aca="false">IFERROR(__xludf.dummyfunction("""COMPUTED_VALUE"""),"Dagade Shruti Dattatray")</f>
        <v>Dagade Shruti Dattatray</v>
      </c>
      <c r="N10" s="322" t="str">
        <f aca="false">IFERROR(__xludf.dummyfunction("""COMPUTED_VALUE"""),"Dagade Shruti D.")</f>
        <v>Dagade Shruti D.</v>
      </c>
      <c r="O10" s="322" t="str">
        <f aca="false">IFERROR(__xludf.dummyfunction("""COMPUTED_VALUE"""),"Dagade S. D.")</f>
        <v>Dagade S. D.</v>
      </c>
      <c r="P10" s="321" t="str">
        <f aca="false">IFERROR(__xludf.dummyfunction("""COMPUTED_VALUE"""),"REG")</f>
        <v>REG</v>
      </c>
      <c r="Q10" s="322" t="str">
        <f aca="false">IFERROR(__xludf.dummyfunction("""COMPUTED_VALUE"""),"")</f>
        <v/>
      </c>
      <c r="R10" s="322" t="str">
        <f aca="false">IFERROR(__xludf.dummyfunction("""COMPUTED_VALUE"""),"")</f>
        <v/>
      </c>
      <c r="S10" s="322" t="str">
        <f aca="false">IFERROR(__xludf.dummyfunction("""COMPUTED_VALUE"""),"")</f>
        <v/>
      </c>
      <c r="T10" s="321" t="str">
        <f aca="false">IFERROR(__xludf.dummyfunction("""COMPUTED_VALUE"""),"OBC")</f>
        <v>OBC</v>
      </c>
      <c r="U10" s="321" t="str">
        <f aca="false">IFERROR(__xludf.dummyfunction("""COMPUTED_VALUE"""),"F")</f>
        <v>F</v>
      </c>
      <c r="V10" s="321" t="n">
        <f aca="false">IFERROR(__xludf.dummyfunction("""COMPUTED_VALUE"""),2017)</f>
        <v>2017</v>
      </c>
      <c r="W10" s="322" t="str">
        <f aca="false">IFERROR(__xludf.dummyfunction("""COMPUTED_VALUE"""),"At Malewadi Post Karanje Tal.Baramati Dist Pune-412306")</f>
        <v>At Malewadi Post Karanje Tal.Baramati Dist Pune-412306</v>
      </c>
      <c r="X10" s="321" t="n">
        <f aca="false">IFERROR(__xludf.dummyfunction("""COMPUTED_VALUE"""),9421019058)</f>
        <v>9421019058</v>
      </c>
      <c r="Y10" s="321" t="n">
        <f aca="false">IFERROR(__xludf.dummyfunction("""COMPUTED_VALUE"""),9421019058)</f>
        <v>9421019058</v>
      </c>
      <c r="Z10" s="175"/>
      <c r="AA10" s="175"/>
      <c r="AB10" s="175"/>
      <c r="AC10" s="175"/>
      <c r="AD10" s="175"/>
      <c r="AE10" s="175"/>
      <c r="AF10" s="175"/>
      <c r="AG10" s="175"/>
      <c r="AH10" s="175"/>
      <c r="AI10" s="175"/>
      <c r="AJ10" s="175"/>
    </row>
    <row r="11" customFormat="false" ht="15.75" hidden="false" customHeight="true" outlineLevel="0" collapsed="false">
      <c r="A11" s="80" t="n">
        <v>6</v>
      </c>
      <c r="B11" s="323" t="n">
        <f aca="false">IFERROR(__xludf.dummyfunction("""COMPUTED_VALUE"""),944)</f>
        <v>944</v>
      </c>
      <c r="C11" s="321" t="str">
        <f aca="false">IFERROR(__xludf.dummyfunction("""COMPUTED_VALUE"""),"COMP")</f>
        <v>COMP</v>
      </c>
      <c r="D11" s="321" t="str">
        <f aca="false">IFERROR(__xludf.dummyfunction("""COMPUTED_VALUE"""),"SE")</f>
        <v>SE</v>
      </c>
      <c r="E11" s="321" t="str">
        <f aca="false">IFERROR(__xludf.dummyfunction("""COMPUTED_VALUE"""),"")</f>
        <v/>
      </c>
      <c r="F11" s="321" t="n">
        <f aca="false">IFERROR(__xludf.dummyfunction("""COMPUTED_VALUE"""),1821010)</f>
        <v>1821010</v>
      </c>
      <c r="G11" s="321" t="str">
        <f aca="false">IFERROR(__xludf.dummyfunction("""COMPUTED_VALUE"""),"Mr.")</f>
        <v>Mr.</v>
      </c>
      <c r="H11" s="322" t="str">
        <f aca="false">IFERROR(__xludf.dummyfunction("""COMPUTED_VALUE"""),"Devkule Akash Anandrao")</f>
        <v>Devkule Akash Anandrao</v>
      </c>
      <c r="I11" s="321" t="str">
        <f aca="false">IFERROR(__xludf.dummyfunction("""COMPUTED_VALUE"""),"")</f>
        <v/>
      </c>
      <c r="J11" s="322" t="str">
        <f aca="false">IFERROR(__xludf.dummyfunction("""COMPUTED_VALUE"""),"Devkule")</f>
        <v>Devkule</v>
      </c>
      <c r="K11" s="322" t="str">
        <f aca="false">IFERROR(__xludf.dummyfunction("""COMPUTED_VALUE"""),"Akash")</f>
        <v>Akash</v>
      </c>
      <c r="L11" s="322" t="str">
        <f aca="false">IFERROR(__xludf.dummyfunction("""COMPUTED_VALUE"""),"Anandrao")</f>
        <v>Anandrao</v>
      </c>
      <c r="M11" s="322" t="str">
        <f aca="false">IFERROR(__xludf.dummyfunction("""COMPUTED_VALUE"""),"Devkule Akash Anandrao")</f>
        <v>Devkule Akash Anandrao</v>
      </c>
      <c r="N11" s="322" t="str">
        <f aca="false">IFERROR(__xludf.dummyfunction("""COMPUTED_VALUE"""),"Devkule Akash A.")</f>
        <v>Devkule Akash A.</v>
      </c>
      <c r="O11" s="322" t="str">
        <f aca="false">IFERROR(__xludf.dummyfunction("""COMPUTED_VALUE"""),"Devkule A. A.")</f>
        <v>Devkule A. A.</v>
      </c>
      <c r="P11" s="321" t="str">
        <f aca="false">IFERROR(__xludf.dummyfunction("""COMPUTED_VALUE"""),"REG")</f>
        <v>REG</v>
      </c>
      <c r="Q11" s="322" t="str">
        <f aca="false">IFERROR(__xludf.dummyfunction("""COMPUTED_VALUE"""),"")</f>
        <v/>
      </c>
      <c r="R11" s="322" t="str">
        <f aca="false">IFERROR(__xludf.dummyfunction("""COMPUTED_VALUE"""),"")</f>
        <v/>
      </c>
      <c r="S11" s="322" t="str">
        <f aca="false">IFERROR(__xludf.dummyfunction("""COMPUTED_VALUE"""),"")</f>
        <v/>
      </c>
      <c r="T11" s="321" t="str">
        <f aca="false">IFERROR(__xludf.dummyfunction("""COMPUTED_VALUE"""),"SC")</f>
        <v>SC</v>
      </c>
      <c r="U11" s="321" t="str">
        <f aca="false">IFERROR(__xludf.dummyfunction("""COMPUTED_VALUE"""),"M")</f>
        <v>M</v>
      </c>
      <c r="V11" s="321" t="n">
        <f aca="false">IFERROR(__xludf.dummyfunction("""COMPUTED_VALUE"""),2017)</f>
        <v>2017</v>
      </c>
      <c r="W11" s="322" t="str">
        <f aca="false">IFERROR(__xludf.dummyfunction("""COMPUTED_VALUE"""),"At Malikhora Post Palashi Tal. Man Dist Satara-415540")</f>
        <v>At Malikhora Post Palashi Tal. Man Dist Satara-415540</v>
      </c>
      <c r="X11" s="321" t="n">
        <f aca="false">IFERROR(__xludf.dummyfunction("""COMPUTED_VALUE"""),9850802131)</f>
        <v>9850802131</v>
      </c>
      <c r="Y11" s="321" t="n">
        <f aca="false">IFERROR(__xludf.dummyfunction("""COMPUTED_VALUE"""),8698732656)</f>
        <v>8698732656</v>
      </c>
      <c r="Z11" s="175"/>
      <c r="AA11" s="175"/>
      <c r="AB11" s="175"/>
      <c r="AC11" s="175"/>
      <c r="AD11" s="175"/>
      <c r="AE11" s="175"/>
      <c r="AF11" s="175"/>
      <c r="AG11" s="175"/>
      <c r="AH11" s="175"/>
      <c r="AI11" s="175"/>
      <c r="AJ11" s="175"/>
    </row>
    <row r="12" customFormat="false" ht="15.75" hidden="false" customHeight="true" outlineLevel="0" collapsed="false">
      <c r="A12" s="80" t="n">
        <v>7</v>
      </c>
      <c r="B12" s="323" t="n">
        <f aca="false">IFERROR(__xludf.dummyfunction("""COMPUTED_VALUE"""),945)</f>
        <v>945</v>
      </c>
      <c r="C12" s="321" t="str">
        <f aca="false">IFERROR(__xludf.dummyfunction("""COMPUTED_VALUE"""),"COMP")</f>
        <v>COMP</v>
      </c>
      <c r="D12" s="321" t="str">
        <f aca="false">IFERROR(__xludf.dummyfunction("""COMPUTED_VALUE"""),"SE")</f>
        <v>SE</v>
      </c>
      <c r="E12" s="321" t="str">
        <f aca="false">IFERROR(__xludf.dummyfunction("""COMPUTED_VALUE"""),"")</f>
        <v/>
      </c>
      <c r="F12" s="321" t="n">
        <f aca="false">IFERROR(__xludf.dummyfunction("""COMPUTED_VALUE"""),1821011)</f>
        <v>1821011</v>
      </c>
      <c r="G12" s="321" t="str">
        <f aca="false">IFERROR(__xludf.dummyfunction("""COMPUTED_VALUE"""),"Ms.")</f>
        <v>Ms.</v>
      </c>
      <c r="H12" s="322" t="str">
        <f aca="false">IFERROR(__xludf.dummyfunction("""COMPUTED_VALUE"""),"Divekar Shivani Ravindra")</f>
        <v>Divekar Shivani Ravindra</v>
      </c>
      <c r="I12" s="321" t="str">
        <f aca="false">IFERROR(__xludf.dummyfunction("""COMPUTED_VALUE"""),"")</f>
        <v/>
      </c>
      <c r="J12" s="322" t="str">
        <f aca="false">IFERROR(__xludf.dummyfunction("""COMPUTED_VALUE"""),"Divekar")</f>
        <v>Divekar</v>
      </c>
      <c r="K12" s="322" t="str">
        <f aca="false">IFERROR(__xludf.dummyfunction("""COMPUTED_VALUE"""),"Shivani")</f>
        <v>Shivani</v>
      </c>
      <c r="L12" s="322" t="str">
        <f aca="false">IFERROR(__xludf.dummyfunction("""COMPUTED_VALUE"""),"Ravindra")</f>
        <v>Ravindra</v>
      </c>
      <c r="M12" s="322" t="str">
        <f aca="false">IFERROR(__xludf.dummyfunction("""COMPUTED_VALUE"""),"Divekar Shivani Ravindra")</f>
        <v>Divekar Shivani Ravindra</v>
      </c>
      <c r="N12" s="322" t="str">
        <f aca="false">IFERROR(__xludf.dummyfunction("""COMPUTED_VALUE"""),"Divekar Shivani R.")</f>
        <v>Divekar Shivani R.</v>
      </c>
      <c r="O12" s="322" t="str">
        <f aca="false">IFERROR(__xludf.dummyfunction("""COMPUTED_VALUE"""),"Divekar S. R.")</f>
        <v>Divekar S. R.</v>
      </c>
      <c r="P12" s="321" t="str">
        <f aca="false">IFERROR(__xludf.dummyfunction("""COMPUTED_VALUE"""),"REG")</f>
        <v>REG</v>
      </c>
      <c r="Q12" s="322" t="str">
        <f aca="false">IFERROR(__xludf.dummyfunction("""COMPUTED_VALUE"""),"")</f>
        <v/>
      </c>
      <c r="R12" s="322" t="str">
        <f aca="false">IFERROR(__xludf.dummyfunction("""COMPUTED_VALUE"""),"")</f>
        <v/>
      </c>
      <c r="S12" s="322" t="str">
        <f aca="false">IFERROR(__xludf.dummyfunction("""COMPUTED_VALUE"""),"")</f>
        <v/>
      </c>
      <c r="T12" s="321" t="str">
        <f aca="false">IFERROR(__xludf.dummyfunction("""COMPUTED_VALUE"""),"OPEN")</f>
        <v>OPEN</v>
      </c>
      <c r="U12" s="321" t="str">
        <f aca="false">IFERROR(__xludf.dummyfunction("""COMPUTED_VALUE"""),"F")</f>
        <v>F</v>
      </c>
      <c r="V12" s="321" t="n">
        <f aca="false">IFERROR(__xludf.dummyfunction("""COMPUTED_VALUE"""),2017)</f>
        <v>2017</v>
      </c>
      <c r="W12" s="322" t="str">
        <f aca="false">IFERROR(__xludf.dummyfunction("""COMPUTED_VALUE"""),"A.P. Varwand Tal.Daund Dist. Pune-412215")</f>
        <v>A.P. Varwand Tal.Daund Dist. Pune-412215</v>
      </c>
      <c r="X12" s="321" t="n">
        <f aca="false">IFERROR(__xludf.dummyfunction("""COMPUTED_VALUE"""),9890908642)</f>
        <v>9890908642</v>
      </c>
      <c r="Y12" s="321" t="n">
        <f aca="false">IFERROR(__xludf.dummyfunction("""COMPUTED_VALUE"""),9834007510)</f>
        <v>9834007510</v>
      </c>
      <c r="Z12" s="175"/>
      <c r="AA12" s="175"/>
      <c r="AB12" s="175"/>
      <c r="AC12" s="175"/>
      <c r="AD12" s="175"/>
      <c r="AE12" s="175"/>
      <c r="AF12" s="175"/>
      <c r="AG12" s="175"/>
      <c r="AH12" s="175"/>
      <c r="AI12" s="175"/>
      <c r="AJ12" s="175"/>
    </row>
    <row r="13" customFormat="false" ht="15.75" hidden="false" customHeight="true" outlineLevel="0" collapsed="false">
      <c r="A13" s="80" t="n">
        <v>8</v>
      </c>
      <c r="B13" s="323" t="n">
        <f aca="false">IFERROR(__xludf.dummyfunction("""COMPUTED_VALUE"""),946)</f>
        <v>946</v>
      </c>
      <c r="C13" s="321" t="str">
        <f aca="false">IFERROR(__xludf.dummyfunction("""COMPUTED_VALUE"""),"COMP")</f>
        <v>COMP</v>
      </c>
      <c r="D13" s="321" t="str">
        <f aca="false">IFERROR(__xludf.dummyfunction("""COMPUTED_VALUE"""),"SE")</f>
        <v>SE</v>
      </c>
      <c r="E13" s="321" t="str">
        <f aca="false">IFERROR(__xludf.dummyfunction("""COMPUTED_VALUE"""),"")</f>
        <v/>
      </c>
      <c r="F13" s="321" t="n">
        <f aca="false">IFERROR(__xludf.dummyfunction("""COMPUTED_VALUE"""),1821013)</f>
        <v>1821013</v>
      </c>
      <c r="G13" s="321" t="str">
        <f aca="false">IFERROR(__xludf.dummyfunction("""COMPUTED_VALUE"""),"Mr.")</f>
        <v>Mr.</v>
      </c>
      <c r="H13" s="322" t="str">
        <f aca="false">IFERROR(__xludf.dummyfunction("""COMPUTED_VALUE"""),"Fulari Anuj Namdeo")</f>
        <v>Fulari Anuj Namdeo</v>
      </c>
      <c r="I13" s="321" t="str">
        <f aca="false">IFERROR(__xludf.dummyfunction("""COMPUTED_VALUE"""),"")</f>
        <v/>
      </c>
      <c r="J13" s="322" t="str">
        <f aca="false">IFERROR(__xludf.dummyfunction("""COMPUTED_VALUE"""),"Fulari")</f>
        <v>Fulari</v>
      </c>
      <c r="K13" s="322" t="str">
        <f aca="false">IFERROR(__xludf.dummyfunction("""COMPUTED_VALUE"""),"Anuj")</f>
        <v>Anuj</v>
      </c>
      <c r="L13" s="322" t="str">
        <f aca="false">IFERROR(__xludf.dummyfunction("""COMPUTED_VALUE"""),"Namdeo")</f>
        <v>Namdeo</v>
      </c>
      <c r="M13" s="322" t="str">
        <f aca="false">IFERROR(__xludf.dummyfunction("""COMPUTED_VALUE"""),"Fulari Anuj Namdeo")</f>
        <v>Fulari Anuj Namdeo</v>
      </c>
      <c r="N13" s="322" t="str">
        <f aca="false">IFERROR(__xludf.dummyfunction("""COMPUTED_VALUE"""),"Fulari Anuj N.")</f>
        <v>Fulari Anuj N.</v>
      </c>
      <c r="O13" s="322" t="str">
        <f aca="false">IFERROR(__xludf.dummyfunction("""COMPUTED_VALUE"""),"Fulari A. N.")</f>
        <v>Fulari A. N.</v>
      </c>
      <c r="P13" s="321" t="str">
        <f aca="false">IFERROR(__xludf.dummyfunction("""COMPUTED_VALUE"""),"REG")</f>
        <v>REG</v>
      </c>
      <c r="Q13" s="322" t="str">
        <f aca="false">IFERROR(__xludf.dummyfunction("""COMPUTED_VALUE"""),"")</f>
        <v/>
      </c>
      <c r="R13" s="322" t="str">
        <f aca="false">IFERROR(__xludf.dummyfunction("""COMPUTED_VALUE"""),"")</f>
        <v/>
      </c>
      <c r="S13" s="322" t="str">
        <f aca="false">IFERROR(__xludf.dummyfunction("""COMPUTED_VALUE"""),"")</f>
        <v/>
      </c>
      <c r="T13" s="321" t="str">
        <f aca="false">IFERROR(__xludf.dummyfunction("""COMPUTED_VALUE"""),"OBC")</f>
        <v>OBC</v>
      </c>
      <c r="U13" s="321" t="str">
        <f aca="false">IFERROR(__xludf.dummyfunction("""COMPUTED_VALUE"""),"M")</f>
        <v>M</v>
      </c>
      <c r="V13" s="321" t="n">
        <f aca="false">IFERROR(__xludf.dummyfunction("""COMPUTED_VALUE"""),2017)</f>
        <v>2017</v>
      </c>
      <c r="W13" s="322" t="str">
        <f aca="false">IFERROR(__xludf.dummyfunction("""COMPUTED_VALUE"""),"Flat No. A-3, Siddhay Appartments, Sayali Hills, Baramati-413102")</f>
        <v>Flat No. A-3, Siddhay Appartments, Sayali Hills, Baramati-413102</v>
      </c>
      <c r="X13" s="321" t="n">
        <f aca="false">IFERROR(__xludf.dummyfunction("""COMPUTED_VALUE"""),9860380000)</f>
        <v>9860380000</v>
      </c>
      <c r="Y13" s="321" t="n">
        <f aca="false">IFERROR(__xludf.dummyfunction("""COMPUTED_VALUE"""),9890181111)</f>
        <v>9890181111</v>
      </c>
      <c r="Z13" s="175"/>
      <c r="AA13" s="175"/>
      <c r="AB13" s="175"/>
      <c r="AC13" s="175"/>
      <c r="AD13" s="175"/>
      <c r="AE13" s="175"/>
      <c r="AF13" s="175"/>
      <c r="AG13" s="175"/>
      <c r="AH13" s="175"/>
      <c r="AI13" s="175"/>
      <c r="AJ13" s="175"/>
    </row>
    <row r="14" customFormat="false" ht="15.75" hidden="false" customHeight="true" outlineLevel="0" collapsed="false">
      <c r="A14" s="80" t="n">
        <v>9</v>
      </c>
      <c r="B14" s="323" t="n">
        <f aca="false">IFERROR(__xludf.dummyfunction("""COMPUTED_VALUE"""),947)</f>
        <v>947</v>
      </c>
      <c r="C14" s="321" t="str">
        <f aca="false">IFERROR(__xludf.dummyfunction("""COMPUTED_VALUE"""),"COMP")</f>
        <v>COMP</v>
      </c>
      <c r="D14" s="321" t="str">
        <f aca="false">IFERROR(__xludf.dummyfunction("""COMPUTED_VALUE"""),"SE")</f>
        <v>SE</v>
      </c>
      <c r="E14" s="321" t="str">
        <f aca="false">IFERROR(__xludf.dummyfunction("""COMPUTED_VALUE"""),"")</f>
        <v/>
      </c>
      <c r="F14" s="321" t="n">
        <f aca="false">IFERROR(__xludf.dummyfunction("""COMPUTED_VALUE"""),1821015)</f>
        <v>1821015</v>
      </c>
      <c r="G14" s="321" t="str">
        <f aca="false">IFERROR(__xludf.dummyfunction("""COMPUTED_VALUE"""),"Ms.")</f>
        <v>Ms.</v>
      </c>
      <c r="H14" s="322" t="str">
        <f aca="false">IFERROR(__xludf.dummyfunction("""COMPUTED_VALUE"""),"Gandhi Dipti Deepak")</f>
        <v>Gandhi Dipti Deepak</v>
      </c>
      <c r="I14" s="321" t="str">
        <f aca="false">IFERROR(__xludf.dummyfunction("""COMPUTED_VALUE"""),"")</f>
        <v/>
      </c>
      <c r="J14" s="322" t="str">
        <f aca="false">IFERROR(__xludf.dummyfunction("""COMPUTED_VALUE"""),"Gandhi")</f>
        <v>Gandhi</v>
      </c>
      <c r="K14" s="322" t="str">
        <f aca="false">IFERROR(__xludf.dummyfunction("""COMPUTED_VALUE"""),"Dipti")</f>
        <v>Dipti</v>
      </c>
      <c r="L14" s="322" t="str">
        <f aca="false">IFERROR(__xludf.dummyfunction("""COMPUTED_VALUE"""),"Deepak")</f>
        <v>Deepak</v>
      </c>
      <c r="M14" s="322" t="str">
        <f aca="false">IFERROR(__xludf.dummyfunction("""COMPUTED_VALUE"""),"Gandhi Dipti Deepak")</f>
        <v>Gandhi Dipti Deepak</v>
      </c>
      <c r="N14" s="322" t="str">
        <f aca="false">IFERROR(__xludf.dummyfunction("""COMPUTED_VALUE"""),"Gandhi Dipti D.")</f>
        <v>Gandhi Dipti D.</v>
      </c>
      <c r="O14" s="322" t="str">
        <f aca="false">IFERROR(__xludf.dummyfunction("""COMPUTED_VALUE"""),"Gandhi D. D.")</f>
        <v>Gandhi D. D.</v>
      </c>
      <c r="P14" s="321" t="str">
        <f aca="false">IFERROR(__xludf.dummyfunction("""COMPUTED_VALUE"""),"REG")</f>
        <v>REG</v>
      </c>
      <c r="Q14" s="322" t="str">
        <f aca="false">IFERROR(__xludf.dummyfunction("""COMPUTED_VALUE"""),"")</f>
        <v/>
      </c>
      <c r="R14" s="322" t="str">
        <f aca="false">IFERROR(__xludf.dummyfunction("""COMPUTED_VALUE"""),"")</f>
        <v/>
      </c>
      <c r="S14" s="322" t="str">
        <f aca="false">IFERROR(__xludf.dummyfunction("""COMPUTED_VALUE"""),"")</f>
        <v/>
      </c>
      <c r="T14" s="321" t="str">
        <f aca="false">IFERROR(__xludf.dummyfunction("""COMPUTED_VALUE"""),"OPEN")</f>
        <v>OPEN</v>
      </c>
      <c r="U14" s="321" t="str">
        <f aca="false">IFERROR(__xludf.dummyfunction("""COMPUTED_VALUE"""),"F")</f>
        <v>F</v>
      </c>
      <c r="V14" s="321" t="n">
        <f aca="false">IFERROR(__xludf.dummyfunction("""COMPUTED_VALUE"""),2017)</f>
        <v>2017</v>
      </c>
      <c r="W14" s="322" t="str">
        <f aca="false">IFERROR(__xludf.dummyfunction("""COMPUTED_VALUE"""),"Flat No.1, Jayashree Residency, Ashoknagar, Baramati-413102")</f>
        <v>Flat No.1, Jayashree Residency, Ashoknagar, Baramati-413102</v>
      </c>
      <c r="X14" s="321" t="n">
        <f aca="false">IFERROR(__xludf.dummyfunction("""COMPUTED_VALUE"""),9860319969)</f>
        <v>9860319969</v>
      </c>
      <c r="Y14" s="321" t="str">
        <f aca="false">IFERROR(__xludf.dummyfunction("""COMPUTED_VALUE"""),"-")</f>
        <v>-</v>
      </c>
      <c r="Z14" s="175"/>
      <c r="AA14" s="175"/>
      <c r="AB14" s="175"/>
      <c r="AC14" s="175"/>
      <c r="AD14" s="175"/>
      <c r="AE14" s="175"/>
      <c r="AF14" s="175"/>
      <c r="AG14" s="175"/>
      <c r="AH14" s="175"/>
      <c r="AI14" s="175"/>
      <c r="AJ14" s="175"/>
    </row>
    <row r="15" customFormat="false" ht="15.75" hidden="false" customHeight="true" outlineLevel="0" collapsed="false">
      <c r="A15" s="80" t="n">
        <v>10</v>
      </c>
      <c r="B15" s="323" t="n">
        <f aca="false">IFERROR(__xludf.dummyfunction("""COMPUTED_VALUE"""),948)</f>
        <v>948</v>
      </c>
      <c r="C15" s="321" t="str">
        <f aca="false">IFERROR(__xludf.dummyfunction("""COMPUTED_VALUE"""),"COMP")</f>
        <v>COMP</v>
      </c>
      <c r="D15" s="321" t="str">
        <f aca="false">IFERROR(__xludf.dummyfunction("""COMPUTED_VALUE"""),"SE")</f>
        <v>SE</v>
      </c>
      <c r="E15" s="321" t="str">
        <f aca="false">IFERROR(__xludf.dummyfunction("""COMPUTED_VALUE"""),"")</f>
        <v/>
      </c>
      <c r="F15" s="321" t="n">
        <f aca="false">IFERROR(__xludf.dummyfunction("""COMPUTED_VALUE"""),1821016)</f>
        <v>1821016</v>
      </c>
      <c r="G15" s="321" t="str">
        <f aca="false">IFERROR(__xludf.dummyfunction("""COMPUTED_VALUE"""),"Ms.")</f>
        <v>Ms.</v>
      </c>
      <c r="H15" s="322" t="str">
        <f aca="false">IFERROR(__xludf.dummyfunction("""COMPUTED_VALUE"""),"Gapat Namrata Ashok")</f>
        <v>Gapat Namrata Ashok</v>
      </c>
      <c r="I15" s="321" t="str">
        <f aca="false">IFERROR(__xludf.dummyfunction("""COMPUTED_VALUE"""),"")</f>
        <v/>
      </c>
      <c r="J15" s="322" t="str">
        <f aca="false">IFERROR(__xludf.dummyfunction("""COMPUTED_VALUE"""),"Gapat")</f>
        <v>Gapat</v>
      </c>
      <c r="K15" s="322" t="str">
        <f aca="false">IFERROR(__xludf.dummyfunction("""COMPUTED_VALUE"""),"Namrata")</f>
        <v>Namrata</v>
      </c>
      <c r="L15" s="322" t="str">
        <f aca="false">IFERROR(__xludf.dummyfunction("""COMPUTED_VALUE"""),"Ashok")</f>
        <v>Ashok</v>
      </c>
      <c r="M15" s="322" t="str">
        <f aca="false">IFERROR(__xludf.dummyfunction("""COMPUTED_VALUE"""),"Gapat Namrata Ashok")</f>
        <v>Gapat Namrata Ashok</v>
      </c>
      <c r="N15" s="322" t="str">
        <f aca="false">IFERROR(__xludf.dummyfunction("""COMPUTED_VALUE"""),"Gapat Namrata A.")</f>
        <v>Gapat Namrata A.</v>
      </c>
      <c r="O15" s="322" t="str">
        <f aca="false">IFERROR(__xludf.dummyfunction("""COMPUTED_VALUE"""),"Gapat N. A.")</f>
        <v>Gapat N. A.</v>
      </c>
      <c r="P15" s="321" t="str">
        <f aca="false">IFERROR(__xludf.dummyfunction("""COMPUTED_VALUE"""),"REG")</f>
        <v>REG</v>
      </c>
      <c r="Q15" s="322" t="str">
        <f aca="false">IFERROR(__xludf.dummyfunction("""COMPUTED_VALUE"""),"")</f>
        <v/>
      </c>
      <c r="R15" s="322" t="str">
        <f aca="false">IFERROR(__xludf.dummyfunction("""COMPUTED_VALUE"""),"")</f>
        <v/>
      </c>
      <c r="S15" s="322" t="str">
        <f aca="false">IFERROR(__xludf.dummyfunction("""COMPUTED_VALUE"""),"")</f>
        <v/>
      </c>
      <c r="T15" s="321" t="str">
        <f aca="false">IFERROR(__xludf.dummyfunction("""COMPUTED_VALUE"""),"OPEN")</f>
        <v>OPEN</v>
      </c>
      <c r="U15" s="321" t="str">
        <f aca="false">IFERROR(__xludf.dummyfunction("""COMPUTED_VALUE"""),"F")</f>
        <v>F</v>
      </c>
      <c r="V15" s="321" t="n">
        <f aca="false">IFERROR(__xludf.dummyfunction("""COMPUTED_VALUE"""),2017)</f>
        <v>2017</v>
      </c>
      <c r="W15" s="322" t="str">
        <f aca="false">IFERROR(__xludf.dummyfunction("""COMPUTED_VALUE"""),"A.P. Indapur Tal Washi, Dist Osmanabad-413525")</f>
        <v>A.P. Indapur Tal Washi, Dist Osmanabad-413525</v>
      </c>
      <c r="X15" s="321" t="n">
        <f aca="false">IFERROR(__xludf.dummyfunction("""COMPUTED_VALUE"""),9421353560)</f>
        <v>9421353560</v>
      </c>
      <c r="Y15" s="321" t="n">
        <f aca="false">IFERROR(__xludf.dummyfunction("""COMPUTED_VALUE"""),9921489936)</f>
        <v>9921489936</v>
      </c>
      <c r="Z15" s="175"/>
      <c r="AA15" s="175"/>
      <c r="AB15" s="175"/>
      <c r="AC15" s="175"/>
      <c r="AD15" s="175"/>
      <c r="AE15" s="175"/>
      <c r="AF15" s="175"/>
      <c r="AG15" s="175"/>
      <c r="AH15" s="175"/>
      <c r="AI15" s="175"/>
      <c r="AJ15" s="175"/>
    </row>
    <row r="16" customFormat="false" ht="15.75" hidden="false" customHeight="true" outlineLevel="0" collapsed="false">
      <c r="A16" s="80" t="n">
        <v>11</v>
      </c>
      <c r="B16" s="323" t="n">
        <f aca="false">IFERROR(__xludf.dummyfunction("""COMPUTED_VALUE"""),949)</f>
        <v>949</v>
      </c>
      <c r="C16" s="321" t="str">
        <f aca="false">IFERROR(__xludf.dummyfunction("""COMPUTED_VALUE"""),"COMP")</f>
        <v>COMP</v>
      </c>
      <c r="D16" s="321" t="str">
        <f aca="false">IFERROR(__xludf.dummyfunction("""COMPUTED_VALUE"""),"SE")</f>
        <v>SE</v>
      </c>
      <c r="E16" s="321" t="str">
        <f aca="false">IFERROR(__xludf.dummyfunction("""COMPUTED_VALUE"""),"")</f>
        <v/>
      </c>
      <c r="F16" s="321" t="n">
        <f aca="false">IFERROR(__xludf.dummyfunction("""COMPUTED_VALUE"""),1821017)</f>
        <v>1821017</v>
      </c>
      <c r="G16" s="321" t="str">
        <f aca="false">IFERROR(__xludf.dummyfunction("""COMPUTED_VALUE"""),"Ms.")</f>
        <v>Ms.</v>
      </c>
      <c r="H16" s="322" t="str">
        <f aca="false">IFERROR(__xludf.dummyfunction("""COMPUTED_VALUE"""),"Gholap Shivani Sanjay")</f>
        <v>Gholap Shivani Sanjay</v>
      </c>
      <c r="I16" s="321" t="str">
        <f aca="false">IFERROR(__xludf.dummyfunction("""COMPUTED_VALUE"""),"")</f>
        <v/>
      </c>
      <c r="J16" s="322" t="str">
        <f aca="false">IFERROR(__xludf.dummyfunction("""COMPUTED_VALUE"""),"Gholap")</f>
        <v>Gholap</v>
      </c>
      <c r="K16" s="322" t="str">
        <f aca="false">IFERROR(__xludf.dummyfunction("""COMPUTED_VALUE"""),"Shivani")</f>
        <v>Shivani</v>
      </c>
      <c r="L16" s="322" t="str">
        <f aca="false">IFERROR(__xludf.dummyfunction("""COMPUTED_VALUE"""),"Sanjay")</f>
        <v>Sanjay</v>
      </c>
      <c r="M16" s="322" t="str">
        <f aca="false">IFERROR(__xludf.dummyfunction("""COMPUTED_VALUE"""),"Gholap Shivani Sanjay")</f>
        <v>Gholap Shivani Sanjay</v>
      </c>
      <c r="N16" s="322" t="str">
        <f aca="false">IFERROR(__xludf.dummyfunction("""COMPUTED_VALUE"""),"Gholap Shivani S.")</f>
        <v>Gholap Shivani S.</v>
      </c>
      <c r="O16" s="322" t="str">
        <f aca="false">IFERROR(__xludf.dummyfunction("""COMPUTED_VALUE"""),"Gholap S. S.")</f>
        <v>Gholap S. S.</v>
      </c>
      <c r="P16" s="321" t="str">
        <f aca="false">IFERROR(__xludf.dummyfunction("""COMPUTED_VALUE"""),"REG")</f>
        <v>REG</v>
      </c>
      <c r="Q16" s="322" t="str">
        <f aca="false">IFERROR(__xludf.dummyfunction("""COMPUTED_VALUE"""),"")</f>
        <v/>
      </c>
      <c r="R16" s="322" t="str">
        <f aca="false">IFERROR(__xludf.dummyfunction("""COMPUTED_VALUE"""),"")</f>
        <v/>
      </c>
      <c r="S16" s="322" t="str">
        <f aca="false">IFERROR(__xludf.dummyfunction("""COMPUTED_VALUE"""),"")</f>
        <v/>
      </c>
      <c r="T16" s="321" t="str">
        <f aca="false">IFERROR(__xludf.dummyfunction("""COMPUTED_VALUE"""),"OPEN")</f>
        <v>OPEN</v>
      </c>
      <c r="U16" s="321" t="str">
        <f aca="false">IFERROR(__xludf.dummyfunction("""COMPUTED_VALUE"""),"F")</f>
        <v>F</v>
      </c>
      <c r="V16" s="321" t="n">
        <f aca="false">IFERROR(__xludf.dummyfunction("""COMPUTED_VALUE"""),2017)</f>
        <v>2017</v>
      </c>
      <c r="W16" s="322" t="str">
        <f aca="false">IFERROR(__xludf.dummyfunction("""COMPUTED_VALUE"""),"Aarya Sankul Flat No.1 Tambenagar, Midc Baramati-413133")</f>
        <v>Aarya Sankul Flat No.1 Tambenagar, Midc Baramati-413133</v>
      </c>
      <c r="X16" s="321" t="n">
        <f aca="false">IFERROR(__xludf.dummyfunction("""COMPUTED_VALUE"""),9881124444)</f>
        <v>9881124444</v>
      </c>
      <c r="Y16" s="321" t="n">
        <f aca="false">IFERROR(__xludf.dummyfunction("""COMPUTED_VALUE"""),7588946112)</f>
        <v>7588946112</v>
      </c>
      <c r="Z16" s="175"/>
      <c r="AA16" s="175"/>
      <c r="AB16" s="175"/>
      <c r="AC16" s="175"/>
      <c r="AD16" s="175"/>
      <c r="AE16" s="175"/>
      <c r="AF16" s="175"/>
      <c r="AG16" s="175"/>
      <c r="AH16" s="175"/>
      <c r="AI16" s="175"/>
      <c r="AJ16" s="175"/>
    </row>
    <row r="17" customFormat="false" ht="15.75" hidden="false" customHeight="true" outlineLevel="0" collapsed="false">
      <c r="A17" s="80" t="n">
        <v>12</v>
      </c>
      <c r="B17" s="323" t="n">
        <f aca="false">IFERROR(__xludf.dummyfunction("""COMPUTED_VALUE"""),950)</f>
        <v>950</v>
      </c>
      <c r="C17" s="321" t="str">
        <f aca="false">IFERROR(__xludf.dummyfunction("""COMPUTED_VALUE"""),"COMP")</f>
        <v>COMP</v>
      </c>
      <c r="D17" s="321" t="str">
        <f aca="false">IFERROR(__xludf.dummyfunction("""COMPUTED_VALUE"""),"SE")</f>
        <v>SE</v>
      </c>
      <c r="E17" s="321" t="str">
        <f aca="false">IFERROR(__xludf.dummyfunction("""COMPUTED_VALUE"""),"")</f>
        <v/>
      </c>
      <c r="F17" s="321" t="n">
        <f aca="false">IFERROR(__xludf.dummyfunction("""COMPUTED_VALUE"""),1821018)</f>
        <v>1821018</v>
      </c>
      <c r="G17" s="321" t="str">
        <f aca="false">IFERROR(__xludf.dummyfunction("""COMPUTED_VALUE"""),"Ms.")</f>
        <v>Ms.</v>
      </c>
      <c r="H17" s="322" t="str">
        <f aca="false">IFERROR(__xludf.dummyfunction("""COMPUTED_VALUE"""),"Godse Harshada Digambar")</f>
        <v>Godse Harshada Digambar</v>
      </c>
      <c r="I17" s="321" t="str">
        <f aca="false">IFERROR(__xludf.dummyfunction("""COMPUTED_VALUE"""),"")</f>
        <v/>
      </c>
      <c r="J17" s="322" t="str">
        <f aca="false">IFERROR(__xludf.dummyfunction("""COMPUTED_VALUE"""),"Godse")</f>
        <v>Godse</v>
      </c>
      <c r="K17" s="322" t="str">
        <f aca="false">IFERROR(__xludf.dummyfunction("""COMPUTED_VALUE"""),"Harshada")</f>
        <v>Harshada</v>
      </c>
      <c r="L17" s="322" t="str">
        <f aca="false">IFERROR(__xludf.dummyfunction("""COMPUTED_VALUE"""),"Digambar")</f>
        <v>Digambar</v>
      </c>
      <c r="M17" s="322" t="str">
        <f aca="false">IFERROR(__xludf.dummyfunction("""COMPUTED_VALUE"""),"Godse Harshada Digambar")</f>
        <v>Godse Harshada Digambar</v>
      </c>
      <c r="N17" s="322" t="str">
        <f aca="false">IFERROR(__xludf.dummyfunction("""COMPUTED_VALUE"""),"Godse Harshada D.")</f>
        <v>Godse Harshada D.</v>
      </c>
      <c r="O17" s="322" t="str">
        <f aca="false">IFERROR(__xludf.dummyfunction("""COMPUTED_VALUE"""),"Godse H. D.")</f>
        <v>Godse H. D.</v>
      </c>
      <c r="P17" s="321" t="str">
        <f aca="false">IFERROR(__xludf.dummyfunction("""COMPUTED_VALUE"""),"REG")</f>
        <v>REG</v>
      </c>
      <c r="Q17" s="322" t="str">
        <f aca="false">IFERROR(__xludf.dummyfunction("""COMPUTED_VALUE"""),"")</f>
        <v/>
      </c>
      <c r="R17" s="322" t="str">
        <f aca="false">IFERROR(__xludf.dummyfunction("""COMPUTED_VALUE"""),"")</f>
        <v/>
      </c>
      <c r="S17" s="322" t="str">
        <f aca="false">IFERROR(__xludf.dummyfunction("""COMPUTED_VALUE"""),"")</f>
        <v/>
      </c>
      <c r="T17" s="321" t="str">
        <f aca="false">IFERROR(__xludf.dummyfunction("""COMPUTED_VALUE"""),"OBC")</f>
        <v>OBC</v>
      </c>
      <c r="U17" s="321" t="str">
        <f aca="false">IFERROR(__xludf.dummyfunction("""COMPUTED_VALUE"""),"F")</f>
        <v>F</v>
      </c>
      <c r="V17" s="321" t="n">
        <f aca="false">IFERROR(__xludf.dummyfunction("""COMPUTED_VALUE"""),2017)</f>
        <v>2017</v>
      </c>
      <c r="W17" s="322" t="str">
        <f aca="false">IFERROR(__xludf.dummyfunction("""COMPUTED_VALUE"""),"A.P. Takali Tal. Karmala Dist.Solapur-413203")</f>
        <v>A.P. Takali Tal. Karmala Dist.Solapur-413203</v>
      </c>
      <c r="X17" s="321" t="n">
        <f aca="false">IFERROR(__xludf.dummyfunction("""COMPUTED_VALUE"""),9096873206)</f>
        <v>9096873206</v>
      </c>
      <c r="Y17" s="321" t="n">
        <f aca="false">IFERROR(__xludf.dummyfunction("""COMPUTED_VALUE"""),7057562978)</f>
        <v>7057562978</v>
      </c>
      <c r="Z17" s="175"/>
      <c r="AA17" s="175"/>
      <c r="AB17" s="175"/>
      <c r="AC17" s="175"/>
      <c r="AD17" s="175"/>
      <c r="AE17" s="175"/>
      <c r="AF17" s="175"/>
      <c r="AG17" s="175"/>
      <c r="AH17" s="175"/>
      <c r="AI17" s="175"/>
      <c r="AJ17" s="175"/>
    </row>
    <row r="18" customFormat="false" ht="15.75" hidden="false" customHeight="true" outlineLevel="0" collapsed="false">
      <c r="A18" s="80" t="n">
        <v>13</v>
      </c>
      <c r="B18" s="323" t="n">
        <f aca="false">IFERROR(__xludf.dummyfunction("""COMPUTED_VALUE"""),951)</f>
        <v>951</v>
      </c>
      <c r="C18" s="321" t="str">
        <f aca="false">IFERROR(__xludf.dummyfunction("""COMPUTED_VALUE"""),"COMP")</f>
        <v>COMP</v>
      </c>
      <c r="D18" s="321" t="str">
        <f aca="false">IFERROR(__xludf.dummyfunction("""COMPUTED_VALUE"""),"SE")</f>
        <v>SE</v>
      </c>
      <c r="E18" s="321" t="str">
        <f aca="false">IFERROR(__xludf.dummyfunction("""COMPUTED_VALUE"""),"")</f>
        <v/>
      </c>
      <c r="F18" s="321" t="n">
        <f aca="false">IFERROR(__xludf.dummyfunction("""COMPUTED_VALUE"""),1821019)</f>
        <v>1821019</v>
      </c>
      <c r="G18" s="321" t="str">
        <f aca="false">IFERROR(__xludf.dummyfunction("""COMPUTED_VALUE"""),"Mr.")</f>
        <v>Mr.</v>
      </c>
      <c r="H18" s="322" t="str">
        <f aca="false">IFERROR(__xludf.dummyfunction("""COMPUTED_VALUE"""),"Goture Aniket Basavaraj")</f>
        <v>Goture Aniket Basavaraj</v>
      </c>
      <c r="I18" s="321" t="str">
        <f aca="false">IFERROR(__xludf.dummyfunction("""COMPUTED_VALUE"""),"")</f>
        <v/>
      </c>
      <c r="J18" s="322" t="str">
        <f aca="false">IFERROR(__xludf.dummyfunction("""COMPUTED_VALUE"""),"Goture")</f>
        <v>Goture</v>
      </c>
      <c r="K18" s="322" t="str">
        <f aca="false">IFERROR(__xludf.dummyfunction("""COMPUTED_VALUE"""),"Aniket")</f>
        <v>Aniket</v>
      </c>
      <c r="L18" s="322" t="str">
        <f aca="false">IFERROR(__xludf.dummyfunction("""COMPUTED_VALUE"""),"Basavaraj")</f>
        <v>Basavaraj</v>
      </c>
      <c r="M18" s="322" t="str">
        <f aca="false">IFERROR(__xludf.dummyfunction("""COMPUTED_VALUE"""),"Goture Aniket Basavaraj")</f>
        <v>Goture Aniket Basavaraj</v>
      </c>
      <c r="N18" s="322" t="str">
        <f aca="false">IFERROR(__xludf.dummyfunction("""COMPUTED_VALUE"""),"Goture Aniket B.")</f>
        <v>Goture Aniket B.</v>
      </c>
      <c r="O18" s="322" t="str">
        <f aca="false">IFERROR(__xludf.dummyfunction("""COMPUTED_VALUE"""),"Goture A. B.")</f>
        <v>Goture A. B.</v>
      </c>
      <c r="P18" s="321" t="str">
        <f aca="false">IFERROR(__xludf.dummyfunction("""COMPUTED_VALUE"""),"REG")</f>
        <v>REG</v>
      </c>
      <c r="Q18" s="322" t="str">
        <f aca="false">IFERROR(__xludf.dummyfunction("""COMPUTED_VALUE"""),"")</f>
        <v/>
      </c>
      <c r="R18" s="322" t="str">
        <f aca="false">IFERROR(__xludf.dummyfunction("""COMPUTED_VALUE"""),"")</f>
        <v/>
      </c>
      <c r="S18" s="322" t="str">
        <f aca="false">IFERROR(__xludf.dummyfunction("""COMPUTED_VALUE"""),"")</f>
        <v/>
      </c>
      <c r="T18" s="321" t="str">
        <f aca="false">IFERROR(__xludf.dummyfunction("""COMPUTED_VALUE"""),"OPEN")</f>
        <v>OPEN</v>
      </c>
      <c r="U18" s="321" t="str">
        <f aca="false">IFERROR(__xludf.dummyfunction("""COMPUTED_VALUE"""),"M")</f>
        <v>M</v>
      </c>
      <c r="V18" s="321" t="n">
        <f aca="false">IFERROR(__xludf.dummyfunction("""COMPUTED_VALUE"""),2017)</f>
        <v>2017</v>
      </c>
      <c r="W18" s="322" t="str">
        <f aca="false">IFERROR(__xludf.dummyfunction("""COMPUTED_VALUE"""),"Ghar No.596, Bayajinagar Rui Midc, Baramati")</f>
        <v>Ghar No.596, Bayajinagar Rui Midc, Baramati</v>
      </c>
      <c r="X18" s="321" t="n">
        <f aca="false">IFERROR(__xludf.dummyfunction("""COMPUTED_VALUE"""),9657851673)</f>
        <v>9657851673</v>
      </c>
      <c r="Y18" s="321" t="n">
        <f aca="false">IFERROR(__xludf.dummyfunction("""COMPUTED_VALUE"""),9657360961)</f>
        <v>9657360961</v>
      </c>
      <c r="Z18" s="175"/>
      <c r="AA18" s="175"/>
      <c r="AB18" s="175"/>
      <c r="AC18" s="175"/>
      <c r="AD18" s="175"/>
      <c r="AE18" s="175"/>
      <c r="AF18" s="175"/>
      <c r="AG18" s="175"/>
      <c r="AH18" s="175"/>
      <c r="AI18" s="175"/>
      <c r="AJ18" s="175"/>
    </row>
    <row r="19" customFormat="false" ht="15.75" hidden="false" customHeight="true" outlineLevel="0" collapsed="false">
      <c r="A19" s="80" t="n">
        <v>14</v>
      </c>
      <c r="B19" s="323" t="n">
        <f aca="false">IFERROR(__xludf.dummyfunction("""COMPUTED_VALUE"""),952)</f>
        <v>952</v>
      </c>
      <c r="C19" s="321" t="str">
        <f aca="false">IFERROR(__xludf.dummyfunction("""COMPUTED_VALUE"""),"COMP")</f>
        <v>COMP</v>
      </c>
      <c r="D19" s="321" t="str">
        <f aca="false">IFERROR(__xludf.dummyfunction("""COMPUTED_VALUE"""),"SE")</f>
        <v>SE</v>
      </c>
      <c r="E19" s="321" t="str">
        <f aca="false">IFERROR(__xludf.dummyfunction("""COMPUTED_VALUE"""),"")</f>
        <v/>
      </c>
      <c r="F19" s="321" t="n">
        <f aca="false">IFERROR(__xludf.dummyfunction("""COMPUTED_VALUE"""),1821020)</f>
        <v>1821020</v>
      </c>
      <c r="G19" s="321" t="str">
        <f aca="false">IFERROR(__xludf.dummyfunction("""COMPUTED_VALUE"""),"Ms.")</f>
        <v>Ms.</v>
      </c>
      <c r="H19" s="322" t="str">
        <f aca="false">IFERROR(__xludf.dummyfunction("""COMPUTED_VALUE"""),"Hingane Aishwarya Vinod")</f>
        <v>Hingane Aishwarya Vinod</v>
      </c>
      <c r="I19" s="321" t="str">
        <f aca="false">IFERROR(__xludf.dummyfunction("""COMPUTED_VALUE"""),"")</f>
        <v/>
      </c>
      <c r="J19" s="322" t="str">
        <f aca="false">IFERROR(__xludf.dummyfunction("""COMPUTED_VALUE"""),"Hingane")</f>
        <v>Hingane</v>
      </c>
      <c r="K19" s="322" t="str">
        <f aca="false">IFERROR(__xludf.dummyfunction("""COMPUTED_VALUE"""),"Aishwarya")</f>
        <v>Aishwarya</v>
      </c>
      <c r="L19" s="322" t="str">
        <f aca="false">IFERROR(__xludf.dummyfunction("""COMPUTED_VALUE"""),"Vinod")</f>
        <v>Vinod</v>
      </c>
      <c r="M19" s="322" t="str">
        <f aca="false">IFERROR(__xludf.dummyfunction("""COMPUTED_VALUE"""),"Hingane Aishwarya Vinod")</f>
        <v>Hingane Aishwarya Vinod</v>
      </c>
      <c r="N19" s="322" t="str">
        <f aca="false">IFERROR(__xludf.dummyfunction("""COMPUTED_VALUE"""),"Hingane Aishwarya V.")</f>
        <v>Hingane Aishwarya V.</v>
      </c>
      <c r="O19" s="322" t="str">
        <f aca="false">IFERROR(__xludf.dummyfunction("""COMPUTED_VALUE"""),"Hingane A. V.")</f>
        <v>Hingane A. V.</v>
      </c>
      <c r="P19" s="321" t="str">
        <f aca="false">IFERROR(__xludf.dummyfunction("""COMPUTED_VALUE"""),"REG")</f>
        <v>REG</v>
      </c>
      <c r="Q19" s="322" t="str">
        <f aca="false">IFERROR(__xludf.dummyfunction("""COMPUTED_VALUE"""),"")</f>
        <v/>
      </c>
      <c r="R19" s="322" t="str">
        <f aca="false">IFERROR(__xludf.dummyfunction("""COMPUTED_VALUE"""),"")</f>
        <v/>
      </c>
      <c r="S19" s="322" t="str">
        <f aca="false">IFERROR(__xludf.dummyfunction("""COMPUTED_VALUE"""),"")</f>
        <v/>
      </c>
      <c r="T19" s="321" t="str">
        <f aca="false">IFERROR(__xludf.dummyfunction("""COMPUTED_VALUE"""),"OBC")</f>
        <v>OBC</v>
      </c>
      <c r="U19" s="321" t="str">
        <f aca="false">IFERROR(__xludf.dummyfunction("""COMPUTED_VALUE"""),"F")</f>
        <v>F</v>
      </c>
      <c r="V19" s="321" t="n">
        <f aca="false">IFERROR(__xludf.dummyfunction("""COMPUTED_VALUE"""),2017)</f>
        <v>2017</v>
      </c>
      <c r="W19" s="322" t="str">
        <f aca="false">IFERROR(__xludf.dummyfunction("""COMPUTED_VALUE"""),"Shriramnagar, Shivkrupa Nivas, Bhigwan Road, Baramati-413102")</f>
        <v>Shriramnagar, Shivkrupa Nivas, Bhigwan Road, Baramati-413102</v>
      </c>
      <c r="X19" s="321" t="n">
        <f aca="false">IFERROR(__xludf.dummyfunction("""COMPUTED_VALUE"""),9860621828)</f>
        <v>9860621828</v>
      </c>
      <c r="Y19" s="321" t="n">
        <f aca="false">IFERROR(__xludf.dummyfunction("""COMPUTED_VALUE"""),7218001712)</f>
        <v>7218001712</v>
      </c>
      <c r="Z19" s="175"/>
      <c r="AA19" s="175"/>
      <c r="AB19" s="175"/>
      <c r="AC19" s="175"/>
      <c r="AD19" s="175"/>
      <c r="AE19" s="175"/>
      <c r="AF19" s="175"/>
      <c r="AG19" s="175"/>
      <c r="AH19" s="175"/>
      <c r="AI19" s="175"/>
      <c r="AJ19" s="175"/>
    </row>
    <row r="20" customFormat="false" ht="15.75" hidden="false" customHeight="true" outlineLevel="0" collapsed="false">
      <c r="A20" s="80" t="n">
        <v>15</v>
      </c>
      <c r="B20" s="323" t="n">
        <f aca="false">IFERROR(__xludf.dummyfunction("""COMPUTED_VALUE"""),953)</f>
        <v>953</v>
      </c>
      <c r="C20" s="321" t="str">
        <f aca="false">IFERROR(__xludf.dummyfunction("""COMPUTED_VALUE"""),"COMP")</f>
        <v>COMP</v>
      </c>
      <c r="D20" s="321" t="str">
        <f aca="false">IFERROR(__xludf.dummyfunction("""COMPUTED_VALUE"""),"SE")</f>
        <v>SE</v>
      </c>
      <c r="E20" s="321" t="str">
        <f aca="false">IFERROR(__xludf.dummyfunction("""COMPUTED_VALUE"""),"")</f>
        <v/>
      </c>
      <c r="F20" s="321" t="n">
        <f aca="false">IFERROR(__xludf.dummyfunction("""COMPUTED_VALUE"""),1821022)</f>
        <v>1821022</v>
      </c>
      <c r="G20" s="321" t="str">
        <f aca="false">IFERROR(__xludf.dummyfunction("""COMPUTED_VALUE"""),"Ms.")</f>
        <v>Ms.</v>
      </c>
      <c r="H20" s="322" t="str">
        <f aca="false">IFERROR(__xludf.dummyfunction("""COMPUTED_VALUE"""),"Jadhav Bharati Bhagwan")</f>
        <v>Jadhav Bharati Bhagwan</v>
      </c>
      <c r="I20" s="321" t="str">
        <f aca="false">IFERROR(__xludf.dummyfunction("""COMPUTED_VALUE"""),"")</f>
        <v/>
      </c>
      <c r="J20" s="322" t="str">
        <f aca="false">IFERROR(__xludf.dummyfunction("""COMPUTED_VALUE"""),"Jadhav")</f>
        <v>Jadhav</v>
      </c>
      <c r="K20" s="322" t="str">
        <f aca="false">IFERROR(__xludf.dummyfunction("""COMPUTED_VALUE"""),"Bharati")</f>
        <v>Bharati</v>
      </c>
      <c r="L20" s="322" t="str">
        <f aca="false">IFERROR(__xludf.dummyfunction("""COMPUTED_VALUE"""),"Bhagwan")</f>
        <v>Bhagwan</v>
      </c>
      <c r="M20" s="322" t="str">
        <f aca="false">IFERROR(__xludf.dummyfunction("""COMPUTED_VALUE"""),"Jadhav Bharati Bhagwan")</f>
        <v>Jadhav Bharati Bhagwan</v>
      </c>
      <c r="N20" s="322" t="str">
        <f aca="false">IFERROR(__xludf.dummyfunction("""COMPUTED_VALUE"""),"Jadhav Bharati B.")</f>
        <v>Jadhav Bharati B.</v>
      </c>
      <c r="O20" s="322" t="str">
        <f aca="false">IFERROR(__xludf.dummyfunction("""COMPUTED_VALUE"""),"Jadhav B. B.")</f>
        <v>Jadhav B. B.</v>
      </c>
      <c r="P20" s="321" t="str">
        <f aca="false">IFERROR(__xludf.dummyfunction("""COMPUTED_VALUE"""),"REG")</f>
        <v>REG</v>
      </c>
      <c r="Q20" s="322" t="str">
        <f aca="false">IFERROR(__xludf.dummyfunction("""COMPUTED_VALUE"""),"")</f>
        <v/>
      </c>
      <c r="R20" s="322" t="str">
        <f aca="false">IFERROR(__xludf.dummyfunction("""COMPUTED_VALUE"""),"")</f>
        <v/>
      </c>
      <c r="S20" s="322" t="str">
        <f aca="false">IFERROR(__xludf.dummyfunction("""COMPUTED_VALUE"""),"")</f>
        <v/>
      </c>
      <c r="T20" s="321" t="str">
        <f aca="false">IFERROR(__xludf.dummyfunction("""COMPUTED_VALUE"""),"OBC")</f>
        <v>OBC</v>
      </c>
      <c r="U20" s="321" t="str">
        <f aca="false">IFERROR(__xludf.dummyfunction("""COMPUTED_VALUE"""),"F")</f>
        <v>F</v>
      </c>
      <c r="V20" s="321" t="n">
        <f aca="false">IFERROR(__xludf.dummyfunction("""COMPUTED_VALUE"""),2017)</f>
        <v>2017</v>
      </c>
      <c r="W20" s="322" t="str">
        <f aca="false">IFERROR(__xludf.dummyfunction("""COMPUTED_VALUE"""),"A.P. Matru Niwas, Khandobanagar, Baramati-413102")</f>
        <v>A.P. Matru Niwas, Khandobanagar, Baramati-413102</v>
      </c>
      <c r="X20" s="321" t="n">
        <f aca="false">IFERROR(__xludf.dummyfunction("""COMPUTED_VALUE"""),7517385256)</f>
        <v>7517385256</v>
      </c>
      <c r="Y20" s="321" t="n">
        <f aca="false">IFERROR(__xludf.dummyfunction("""COMPUTED_VALUE"""),7517385256)</f>
        <v>7517385256</v>
      </c>
      <c r="Z20" s="175"/>
      <c r="AA20" s="175"/>
      <c r="AB20" s="175"/>
      <c r="AC20" s="175"/>
      <c r="AD20" s="175"/>
      <c r="AE20" s="175"/>
      <c r="AF20" s="175"/>
      <c r="AG20" s="175"/>
      <c r="AH20" s="175"/>
      <c r="AI20" s="175"/>
      <c r="AJ20" s="175"/>
    </row>
    <row r="21" customFormat="false" ht="15.75" hidden="false" customHeight="true" outlineLevel="0" collapsed="false">
      <c r="A21" s="80" t="n">
        <v>16</v>
      </c>
      <c r="B21" s="323" t="n">
        <f aca="false">IFERROR(__xludf.dummyfunction("""COMPUTED_VALUE"""),954)</f>
        <v>954</v>
      </c>
      <c r="C21" s="321" t="str">
        <f aca="false">IFERROR(__xludf.dummyfunction("""COMPUTED_VALUE"""),"COMP")</f>
        <v>COMP</v>
      </c>
      <c r="D21" s="321" t="str">
        <f aca="false">IFERROR(__xludf.dummyfunction("""COMPUTED_VALUE"""),"SE")</f>
        <v>SE</v>
      </c>
      <c r="E21" s="321" t="str">
        <f aca="false">IFERROR(__xludf.dummyfunction("""COMPUTED_VALUE"""),"")</f>
        <v/>
      </c>
      <c r="F21" s="321" t="n">
        <f aca="false">IFERROR(__xludf.dummyfunction("""COMPUTED_VALUE"""),1821023)</f>
        <v>1821023</v>
      </c>
      <c r="G21" s="321" t="str">
        <f aca="false">IFERROR(__xludf.dummyfunction("""COMPUTED_VALUE"""),"Ms.")</f>
        <v>Ms.</v>
      </c>
      <c r="H21" s="322" t="str">
        <f aca="false">IFERROR(__xludf.dummyfunction("""COMPUTED_VALUE"""),"Jadhav Komal Ramchandra")</f>
        <v>Jadhav Komal Ramchandra</v>
      </c>
      <c r="I21" s="321" t="str">
        <f aca="false">IFERROR(__xludf.dummyfunction("""COMPUTED_VALUE"""),"")</f>
        <v/>
      </c>
      <c r="J21" s="322" t="str">
        <f aca="false">IFERROR(__xludf.dummyfunction("""COMPUTED_VALUE"""),"Jadhav")</f>
        <v>Jadhav</v>
      </c>
      <c r="K21" s="322" t="str">
        <f aca="false">IFERROR(__xludf.dummyfunction("""COMPUTED_VALUE"""),"Komal")</f>
        <v>Komal</v>
      </c>
      <c r="L21" s="322" t="str">
        <f aca="false">IFERROR(__xludf.dummyfunction("""COMPUTED_VALUE"""),"Ramchandra")</f>
        <v>Ramchandra</v>
      </c>
      <c r="M21" s="322" t="str">
        <f aca="false">IFERROR(__xludf.dummyfunction("""COMPUTED_VALUE"""),"Jadhav Komal Ramchandra")</f>
        <v>Jadhav Komal Ramchandra</v>
      </c>
      <c r="N21" s="322" t="str">
        <f aca="false">IFERROR(__xludf.dummyfunction("""COMPUTED_VALUE"""),"Jadhav Komal R.")</f>
        <v>Jadhav Komal R.</v>
      </c>
      <c r="O21" s="322" t="str">
        <f aca="false">IFERROR(__xludf.dummyfunction("""COMPUTED_VALUE"""),"Jadhav K. R.")</f>
        <v>Jadhav K. R.</v>
      </c>
      <c r="P21" s="321" t="str">
        <f aca="false">IFERROR(__xludf.dummyfunction("""COMPUTED_VALUE"""),"REG")</f>
        <v>REG</v>
      </c>
      <c r="Q21" s="322" t="str">
        <f aca="false">IFERROR(__xludf.dummyfunction("""COMPUTED_VALUE"""),"")</f>
        <v/>
      </c>
      <c r="R21" s="322" t="str">
        <f aca="false">IFERROR(__xludf.dummyfunction("""COMPUTED_VALUE"""),"")</f>
        <v/>
      </c>
      <c r="S21" s="322" t="str">
        <f aca="false">IFERROR(__xludf.dummyfunction("""COMPUTED_VALUE"""),"")</f>
        <v/>
      </c>
      <c r="T21" s="321" t="str">
        <f aca="false">IFERROR(__xludf.dummyfunction("""COMPUTED_VALUE"""),"OPEN")</f>
        <v>OPEN</v>
      </c>
      <c r="U21" s="321" t="str">
        <f aca="false">IFERROR(__xludf.dummyfunction("""COMPUTED_VALUE"""),"F")</f>
        <v>F</v>
      </c>
      <c r="V21" s="321" t="n">
        <f aca="false">IFERROR(__xludf.dummyfunction("""COMPUTED_VALUE"""),2017)</f>
        <v>2017</v>
      </c>
      <c r="W21" s="322" t="str">
        <f aca="false">IFERROR(__xludf.dummyfunction("""COMPUTED_VALUE"""),"A.P. Pande Tal Wai, Dist Satara-415515")</f>
        <v>A.P. Pande Tal Wai, Dist Satara-415515</v>
      </c>
      <c r="X21" s="321" t="n">
        <f aca="false">IFERROR(__xludf.dummyfunction("""COMPUTED_VALUE"""),9850524902)</f>
        <v>9850524902</v>
      </c>
      <c r="Y21" s="321" t="n">
        <f aca="false">IFERROR(__xludf.dummyfunction("""COMPUTED_VALUE"""),9623486190)</f>
        <v>9623486190</v>
      </c>
      <c r="Z21" s="175"/>
      <c r="AA21" s="175"/>
      <c r="AB21" s="175"/>
      <c r="AC21" s="175"/>
      <c r="AD21" s="175"/>
      <c r="AE21" s="175"/>
      <c r="AF21" s="175"/>
      <c r="AG21" s="175"/>
      <c r="AH21" s="175"/>
      <c r="AI21" s="175"/>
      <c r="AJ21" s="175"/>
    </row>
    <row r="22" customFormat="false" ht="15.75" hidden="false" customHeight="true" outlineLevel="0" collapsed="false">
      <c r="A22" s="80" t="n">
        <v>17</v>
      </c>
      <c r="B22" s="323" t="n">
        <f aca="false">IFERROR(__xludf.dummyfunction("""COMPUTED_VALUE"""),955)</f>
        <v>955</v>
      </c>
      <c r="C22" s="321" t="str">
        <f aca="false">IFERROR(__xludf.dummyfunction("""COMPUTED_VALUE"""),"COMP")</f>
        <v>COMP</v>
      </c>
      <c r="D22" s="321" t="str">
        <f aca="false">IFERROR(__xludf.dummyfunction("""COMPUTED_VALUE"""),"SE")</f>
        <v>SE</v>
      </c>
      <c r="E22" s="321" t="str">
        <f aca="false">IFERROR(__xludf.dummyfunction("""COMPUTED_VALUE"""),"")</f>
        <v/>
      </c>
      <c r="F22" s="321" t="n">
        <f aca="false">IFERROR(__xludf.dummyfunction("""COMPUTED_VALUE"""),1821024)</f>
        <v>1821024</v>
      </c>
      <c r="G22" s="321" t="str">
        <f aca="false">IFERROR(__xludf.dummyfunction("""COMPUTED_VALUE"""),"Mr.")</f>
        <v>Mr.</v>
      </c>
      <c r="H22" s="322" t="str">
        <f aca="false">IFERROR(__xludf.dummyfunction("""COMPUTED_VALUE"""),"Jadhav Vishal Madhukar")</f>
        <v>Jadhav Vishal Madhukar</v>
      </c>
      <c r="I22" s="321" t="str">
        <f aca="false">IFERROR(__xludf.dummyfunction("""COMPUTED_VALUE"""),"")</f>
        <v/>
      </c>
      <c r="J22" s="322" t="str">
        <f aca="false">IFERROR(__xludf.dummyfunction("""COMPUTED_VALUE"""),"Jadhav")</f>
        <v>Jadhav</v>
      </c>
      <c r="K22" s="322" t="str">
        <f aca="false">IFERROR(__xludf.dummyfunction("""COMPUTED_VALUE"""),"Vishal")</f>
        <v>Vishal</v>
      </c>
      <c r="L22" s="322" t="str">
        <f aca="false">IFERROR(__xludf.dummyfunction("""COMPUTED_VALUE"""),"Madhukar")</f>
        <v>Madhukar</v>
      </c>
      <c r="M22" s="322" t="str">
        <f aca="false">IFERROR(__xludf.dummyfunction("""COMPUTED_VALUE"""),"Jadhav Vishal Madhukar")</f>
        <v>Jadhav Vishal Madhukar</v>
      </c>
      <c r="N22" s="322" t="str">
        <f aca="false">IFERROR(__xludf.dummyfunction("""COMPUTED_VALUE"""),"Jadhav Vishal M.")</f>
        <v>Jadhav Vishal M.</v>
      </c>
      <c r="O22" s="322" t="str">
        <f aca="false">IFERROR(__xludf.dummyfunction("""COMPUTED_VALUE"""),"Jadhav V. M.")</f>
        <v>Jadhav V. M.</v>
      </c>
      <c r="P22" s="321" t="str">
        <f aca="false">IFERROR(__xludf.dummyfunction("""COMPUTED_VALUE"""),"REG")</f>
        <v>REG</v>
      </c>
      <c r="Q22" s="322" t="str">
        <f aca="false">IFERROR(__xludf.dummyfunction("""COMPUTED_VALUE"""),"")</f>
        <v/>
      </c>
      <c r="R22" s="322" t="str">
        <f aca="false">IFERROR(__xludf.dummyfunction("""COMPUTED_VALUE"""),"")</f>
        <v/>
      </c>
      <c r="S22" s="322" t="str">
        <f aca="false">IFERROR(__xludf.dummyfunction("""COMPUTED_VALUE"""),"")</f>
        <v/>
      </c>
      <c r="T22" s="321" t="str">
        <f aca="false">IFERROR(__xludf.dummyfunction("""COMPUTED_VALUE"""),"OPEN")</f>
        <v>OPEN</v>
      </c>
      <c r="U22" s="321" t="str">
        <f aca="false">IFERROR(__xludf.dummyfunction("""COMPUTED_VALUE"""),"M")</f>
        <v>M</v>
      </c>
      <c r="V22" s="321" t="n">
        <f aca="false">IFERROR(__xludf.dummyfunction("""COMPUTED_VALUE"""),2016)</f>
        <v>2016</v>
      </c>
      <c r="W22" s="322" t="str">
        <f aca="false">IFERROR(__xludf.dummyfunction("""COMPUTED_VALUE"""),"A.P. Tondachir Tal. Udgir Dist. Latur")</f>
        <v>A.P. Tondachir Tal. Udgir Dist. Latur</v>
      </c>
      <c r="X22" s="321" t="n">
        <f aca="false">IFERROR(__xludf.dummyfunction("""COMPUTED_VALUE"""),9823892331)</f>
        <v>9823892331</v>
      </c>
      <c r="Y22" s="321" t="n">
        <f aca="false">IFERROR(__xludf.dummyfunction("""COMPUTED_VALUE"""),8806394623)</f>
        <v>8806394623</v>
      </c>
      <c r="Z22" s="175"/>
      <c r="AA22" s="175"/>
      <c r="AB22" s="175"/>
      <c r="AC22" s="175"/>
      <c r="AD22" s="175"/>
      <c r="AE22" s="175"/>
      <c r="AF22" s="175"/>
      <c r="AG22" s="175"/>
      <c r="AH22" s="175"/>
      <c r="AI22" s="175"/>
      <c r="AJ22" s="175"/>
    </row>
    <row r="23" customFormat="false" ht="15.75" hidden="false" customHeight="true" outlineLevel="0" collapsed="false">
      <c r="A23" s="80" t="n">
        <v>18</v>
      </c>
      <c r="B23" s="323" t="n">
        <f aca="false">IFERROR(__xludf.dummyfunction("""COMPUTED_VALUE"""),956)</f>
        <v>956</v>
      </c>
      <c r="C23" s="321" t="str">
        <f aca="false">IFERROR(__xludf.dummyfunction("""COMPUTED_VALUE"""),"COMP")</f>
        <v>COMP</v>
      </c>
      <c r="D23" s="321" t="str">
        <f aca="false">IFERROR(__xludf.dummyfunction("""COMPUTED_VALUE"""),"SE")</f>
        <v>SE</v>
      </c>
      <c r="E23" s="321" t="str">
        <f aca="false">IFERROR(__xludf.dummyfunction("""COMPUTED_VALUE"""),"")</f>
        <v/>
      </c>
      <c r="F23" s="321" t="n">
        <f aca="false">IFERROR(__xludf.dummyfunction("""COMPUTED_VALUE"""),1821025)</f>
        <v>1821025</v>
      </c>
      <c r="G23" s="321" t="str">
        <f aca="false">IFERROR(__xludf.dummyfunction("""COMPUTED_VALUE"""),"Mr.")</f>
        <v>Mr.</v>
      </c>
      <c r="H23" s="322" t="str">
        <f aca="false">IFERROR(__xludf.dummyfunction("""COMPUTED_VALUE"""),"Jagdale Swapnil Vitthal")</f>
        <v>Jagdale Swapnil Vitthal</v>
      </c>
      <c r="I23" s="321" t="str">
        <f aca="false">IFERROR(__xludf.dummyfunction("""COMPUTED_VALUE"""),"")</f>
        <v/>
      </c>
      <c r="J23" s="322" t="str">
        <f aca="false">IFERROR(__xludf.dummyfunction("""COMPUTED_VALUE"""),"Jagdale")</f>
        <v>Jagdale</v>
      </c>
      <c r="K23" s="322" t="str">
        <f aca="false">IFERROR(__xludf.dummyfunction("""COMPUTED_VALUE"""),"Swapnil")</f>
        <v>Swapnil</v>
      </c>
      <c r="L23" s="322" t="str">
        <f aca="false">IFERROR(__xludf.dummyfunction("""COMPUTED_VALUE"""),"Vitthal")</f>
        <v>Vitthal</v>
      </c>
      <c r="M23" s="322" t="str">
        <f aca="false">IFERROR(__xludf.dummyfunction("""COMPUTED_VALUE"""),"Jagdale Swapnil Vitthal")</f>
        <v>Jagdale Swapnil Vitthal</v>
      </c>
      <c r="N23" s="322" t="str">
        <f aca="false">IFERROR(__xludf.dummyfunction("""COMPUTED_VALUE"""),"Jagdale Swapnil V.")</f>
        <v>Jagdale Swapnil V.</v>
      </c>
      <c r="O23" s="322" t="str">
        <f aca="false">IFERROR(__xludf.dummyfunction("""COMPUTED_VALUE"""),"Jagdale S. V.")</f>
        <v>Jagdale S. V.</v>
      </c>
      <c r="P23" s="321" t="str">
        <f aca="false">IFERROR(__xludf.dummyfunction("""COMPUTED_VALUE"""),"REG")</f>
        <v>REG</v>
      </c>
      <c r="Q23" s="322" t="str">
        <f aca="false">IFERROR(__xludf.dummyfunction("""COMPUTED_VALUE"""),"")</f>
        <v/>
      </c>
      <c r="R23" s="322" t="str">
        <f aca="false">IFERROR(__xludf.dummyfunction("""COMPUTED_VALUE"""),"")</f>
        <v/>
      </c>
      <c r="S23" s="322" t="str">
        <f aca="false">IFERROR(__xludf.dummyfunction("""COMPUTED_VALUE"""),"")</f>
        <v/>
      </c>
      <c r="T23" s="321" t="str">
        <f aca="false">IFERROR(__xludf.dummyfunction("""COMPUTED_VALUE"""),"OPEN")</f>
        <v>OPEN</v>
      </c>
      <c r="U23" s="321" t="str">
        <f aca="false">IFERROR(__xludf.dummyfunction("""COMPUTED_VALUE"""),"M")</f>
        <v>M</v>
      </c>
      <c r="V23" s="321" t="n">
        <f aca="false">IFERROR(__xludf.dummyfunction("""COMPUTED_VALUE"""),2017)</f>
        <v>2017</v>
      </c>
      <c r="W23" s="322" t="str">
        <f aca="false">IFERROR(__xludf.dummyfunction("""COMPUTED_VALUE"""),"A.P. Walchandnagar Tal. Indapur Dist Pune413114")</f>
        <v>A.P. Walchandnagar Tal. Indapur Dist Pune413114</v>
      </c>
      <c r="X23" s="321" t="n">
        <f aca="false">IFERROR(__xludf.dummyfunction("""COMPUTED_VALUE"""),9975038535)</f>
        <v>9975038535</v>
      </c>
      <c r="Y23" s="321" t="n">
        <f aca="false">IFERROR(__xludf.dummyfunction("""COMPUTED_VALUE"""),9834872721)</f>
        <v>9834872721</v>
      </c>
      <c r="Z23" s="175"/>
      <c r="AA23" s="175"/>
      <c r="AB23" s="175"/>
      <c r="AC23" s="175"/>
      <c r="AD23" s="175"/>
      <c r="AE23" s="175"/>
      <c r="AF23" s="175"/>
      <c r="AG23" s="175"/>
      <c r="AH23" s="175"/>
      <c r="AI23" s="175"/>
      <c r="AJ23" s="175"/>
    </row>
    <row r="24" customFormat="false" ht="15.75" hidden="false" customHeight="true" outlineLevel="0" collapsed="false">
      <c r="A24" s="80" t="n">
        <v>19</v>
      </c>
      <c r="B24" s="323" t="n">
        <f aca="false">IFERROR(__xludf.dummyfunction("""COMPUTED_VALUE"""),957)</f>
        <v>957</v>
      </c>
      <c r="C24" s="321" t="str">
        <f aca="false">IFERROR(__xludf.dummyfunction("""COMPUTED_VALUE"""),"COMP")</f>
        <v>COMP</v>
      </c>
      <c r="D24" s="321" t="str">
        <f aca="false">IFERROR(__xludf.dummyfunction("""COMPUTED_VALUE"""),"SE")</f>
        <v>SE</v>
      </c>
      <c r="E24" s="321" t="str">
        <f aca="false">IFERROR(__xludf.dummyfunction("""COMPUTED_VALUE"""),"")</f>
        <v/>
      </c>
      <c r="F24" s="321" t="n">
        <f aca="false">IFERROR(__xludf.dummyfunction("""COMPUTED_VALUE"""),1821026)</f>
        <v>1821026</v>
      </c>
      <c r="G24" s="321" t="str">
        <f aca="false">IFERROR(__xludf.dummyfunction("""COMPUTED_VALUE"""),"Ms.")</f>
        <v>Ms.</v>
      </c>
      <c r="H24" s="322" t="str">
        <f aca="false">IFERROR(__xludf.dummyfunction("""COMPUTED_VALUE"""),"Jagtap Ankita Anil")</f>
        <v>Jagtap Ankita Anil</v>
      </c>
      <c r="I24" s="321" t="str">
        <f aca="false">IFERROR(__xludf.dummyfunction("""COMPUTED_VALUE"""),"")</f>
        <v/>
      </c>
      <c r="J24" s="322" t="str">
        <f aca="false">IFERROR(__xludf.dummyfunction("""COMPUTED_VALUE"""),"Jagtap")</f>
        <v>Jagtap</v>
      </c>
      <c r="K24" s="322" t="str">
        <f aca="false">IFERROR(__xludf.dummyfunction("""COMPUTED_VALUE"""),"Ankita")</f>
        <v>Ankita</v>
      </c>
      <c r="L24" s="322" t="str">
        <f aca="false">IFERROR(__xludf.dummyfunction("""COMPUTED_VALUE"""),"Anil")</f>
        <v>Anil</v>
      </c>
      <c r="M24" s="322" t="str">
        <f aca="false">IFERROR(__xludf.dummyfunction("""COMPUTED_VALUE"""),"Jagtap Ankita Anil")</f>
        <v>Jagtap Ankita Anil</v>
      </c>
      <c r="N24" s="322" t="str">
        <f aca="false">IFERROR(__xludf.dummyfunction("""COMPUTED_VALUE"""),"Jagtap Ankita A.")</f>
        <v>Jagtap Ankita A.</v>
      </c>
      <c r="O24" s="322" t="str">
        <f aca="false">IFERROR(__xludf.dummyfunction("""COMPUTED_VALUE"""),"Jagtap A. A.")</f>
        <v>Jagtap A. A.</v>
      </c>
      <c r="P24" s="321" t="str">
        <f aca="false">IFERROR(__xludf.dummyfunction("""COMPUTED_VALUE"""),"REG")</f>
        <v>REG</v>
      </c>
      <c r="Q24" s="322" t="str">
        <f aca="false">IFERROR(__xludf.dummyfunction("""COMPUTED_VALUE"""),"")</f>
        <v/>
      </c>
      <c r="R24" s="322" t="str">
        <f aca="false">IFERROR(__xludf.dummyfunction("""COMPUTED_VALUE"""),"")</f>
        <v/>
      </c>
      <c r="S24" s="322" t="str">
        <f aca="false">IFERROR(__xludf.dummyfunction("""COMPUTED_VALUE"""),"")</f>
        <v/>
      </c>
      <c r="T24" s="321" t="str">
        <f aca="false">IFERROR(__xludf.dummyfunction("""COMPUTED_VALUE"""),"OPEN")</f>
        <v>OPEN</v>
      </c>
      <c r="U24" s="321" t="str">
        <f aca="false">IFERROR(__xludf.dummyfunction("""COMPUTED_VALUE"""),"F")</f>
        <v>F</v>
      </c>
      <c r="V24" s="321" t="n">
        <f aca="false">IFERROR(__xludf.dummyfunction("""COMPUTED_VALUE"""),2017)</f>
        <v>2017</v>
      </c>
      <c r="W24" s="322" t="str">
        <f aca="false">IFERROR(__xludf.dummyfunction("""COMPUTED_VALUE"""),"A.P. Jalgaon Supe Tal. Baramati Dist.Pune-413102")</f>
        <v>A.P. Jalgaon Supe Tal. Baramati Dist.Pune-413102</v>
      </c>
      <c r="X24" s="321" t="n">
        <f aca="false">IFERROR(__xludf.dummyfunction("""COMPUTED_VALUE"""),9881773344)</f>
        <v>9881773344</v>
      </c>
      <c r="Y24" s="321" t="n">
        <f aca="false">IFERROR(__xludf.dummyfunction("""COMPUTED_VALUE"""),9881253344)</f>
        <v>9881253344</v>
      </c>
      <c r="Z24" s="175"/>
      <c r="AA24" s="175"/>
      <c r="AB24" s="175"/>
      <c r="AC24" s="175"/>
      <c r="AD24" s="175"/>
      <c r="AE24" s="175"/>
      <c r="AF24" s="175"/>
      <c r="AG24" s="175"/>
      <c r="AH24" s="175"/>
      <c r="AI24" s="175"/>
      <c r="AJ24" s="175"/>
    </row>
    <row r="25" customFormat="false" ht="15.75" hidden="false" customHeight="true" outlineLevel="0" collapsed="false">
      <c r="A25" s="80" t="n">
        <v>20</v>
      </c>
      <c r="B25" s="323" t="n">
        <f aca="false">IFERROR(__xludf.dummyfunction("""COMPUTED_VALUE"""),958)</f>
        <v>958</v>
      </c>
      <c r="C25" s="321" t="str">
        <f aca="false">IFERROR(__xludf.dummyfunction("""COMPUTED_VALUE"""),"COMP")</f>
        <v>COMP</v>
      </c>
      <c r="D25" s="321" t="str">
        <f aca="false">IFERROR(__xludf.dummyfunction("""COMPUTED_VALUE"""),"SE")</f>
        <v>SE</v>
      </c>
      <c r="E25" s="321" t="str">
        <f aca="false">IFERROR(__xludf.dummyfunction("""COMPUTED_VALUE"""),"")</f>
        <v/>
      </c>
      <c r="F25" s="321" t="n">
        <f aca="false">IFERROR(__xludf.dummyfunction("""COMPUTED_VALUE"""),1821030)</f>
        <v>1821030</v>
      </c>
      <c r="G25" s="321" t="str">
        <f aca="false">IFERROR(__xludf.dummyfunction("""COMPUTED_VALUE"""),"Mr.")</f>
        <v>Mr.</v>
      </c>
      <c r="H25" s="322" t="str">
        <f aca="false">IFERROR(__xludf.dummyfunction("""COMPUTED_VALUE"""),"Kadam Vikrant Rajendra")</f>
        <v>Kadam Vikrant Rajendra</v>
      </c>
      <c r="I25" s="321" t="str">
        <f aca="false">IFERROR(__xludf.dummyfunction("""COMPUTED_VALUE"""),"")</f>
        <v/>
      </c>
      <c r="J25" s="322" t="str">
        <f aca="false">IFERROR(__xludf.dummyfunction("""COMPUTED_VALUE"""),"Kadam")</f>
        <v>Kadam</v>
      </c>
      <c r="K25" s="322" t="str">
        <f aca="false">IFERROR(__xludf.dummyfunction("""COMPUTED_VALUE"""),"Vikrant")</f>
        <v>Vikrant</v>
      </c>
      <c r="L25" s="322" t="str">
        <f aca="false">IFERROR(__xludf.dummyfunction("""COMPUTED_VALUE"""),"Rajendra")</f>
        <v>Rajendra</v>
      </c>
      <c r="M25" s="322" t="str">
        <f aca="false">IFERROR(__xludf.dummyfunction("""COMPUTED_VALUE"""),"Kadam Vikrant Rajendra")</f>
        <v>Kadam Vikrant Rajendra</v>
      </c>
      <c r="N25" s="322" t="str">
        <f aca="false">IFERROR(__xludf.dummyfunction("""COMPUTED_VALUE"""),"Kadam Vikrant R.")</f>
        <v>Kadam Vikrant R.</v>
      </c>
      <c r="O25" s="322" t="str">
        <f aca="false">IFERROR(__xludf.dummyfunction("""COMPUTED_VALUE"""),"Kadam V. R.")</f>
        <v>Kadam V. R.</v>
      </c>
      <c r="P25" s="321" t="str">
        <f aca="false">IFERROR(__xludf.dummyfunction("""COMPUTED_VALUE"""),"REG")</f>
        <v>REG</v>
      </c>
      <c r="Q25" s="322" t="str">
        <f aca="false">IFERROR(__xludf.dummyfunction("""COMPUTED_VALUE"""),"")</f>
        <v/>
      </c>
      <c r="R25" s="322" t="str">
        <f aca="false">IFERROR(__xludf.dummyfunction("""COMPUTED_VALUE"""),"")</f>
        <v/>
      </c>
      <c r="S25" s="322" t="str">
        <f aca="false">IFERROR(__xludf.dummyfunction("""COMPUTED_VALUE"""),"")</f>
        <v/>
      </c>
      <c r="T25" s="321" t="str">
        <f aca="false">IFERROR(__xludf.dummyfunction("""COMPUTED_VALUE"""),"OPEN")</f>
        <v>OPEN</v>
      </c>
      <c r="U25" s="321" t="str">
        <f aca="false">IFERROR(__xludf.dummyfunction("""COMPUTED_VALUE"""),"M")</f>
        <v>M</v>
      </c>
      <c r="V25" s="321" t="n">
        <f aca="false">IFERROR(__xludf.dummyfunction("""COMPUTED_VALUE"""),2017)</f>
        <v>2017</v>
      </c>
      <c r="W25" s="322" t="str">
        <f aca="false">IFERROR(__xludf.dummyfunction("""COMPUTED_VALUE"""),"Patnagshahnagar, Patas Road, Baramati-413102")</f>
        <v>Patnagshahnagar, Patas Road, Baramati-413102</v>
      </c>
      <c r="X25" s="321" t="n">
        <f aca="false">IFERROR(__xludf.dummyfunction("""COMPUTED_VALUE"""),9665468212)</f>
        <v>9665468212</v>
      </c>
      <c r="Y25" s="321" t="n">
        <f aca="false">IFERROR(__xludf.dummyfunction("""COMPUTED_VALUE"""),9665468212)</f>
        <v>9665468212</v>
      </c>
      <c r="Z25" s="175"/>
      <c r="AA25" s="175"/>
      <c r="AB25" s="175"/>
      <c r="AC25" s="175"/>
      <c r="AD25" s="175"/>
      <c r="AE25" s="175"/>
      <c r="AF25" s="175"/>
      <c r="AG25" s="175"/>
      <c r="AH25" s="175"/>
      <c r="AI25" s="175"/>
      <c r="AJ25" s="175"/>
    </row>
    <row r="26" customFormat="false" ht="15.75" hidden="false" customHeight="true" outlineLevel="0" collapsed="false">
      <c r="A26" s="80" t="n">
        <v>21</v>
      </c>
      <c r="B26" s="323" t="n">
        <f aca="false">IFERROR(__xludf.dummyfunction("""COMPUTED_VALUE"""),959)</f>
        <v>959</v>
      </c>
      <c r="C26" s="321" t="str">
        <f aca="false">IFERROR(__xludf.dummyfunction("""COMPUTED_VALUE"""),"COMP")</f>
        <v>COMP</v>
      </c>
      <c r="D26" s="321" t="str">
        <f aca="false">IFERROR(__xludf.dummyfunction("""COMPUTED_VALUE"""),"SE")</f>
        <v>SE</v>
      </c>
      <c r="E26" s="321" t="str">
        <f aca="false">IFERROR(__xludf.dummyfunction("""COMPUTED_VALUE"""),"")</f>
        <v/>
      </c>
      <c r="F26" s="321" t="n">
        <f aca="false">IFERROR(__xludf.dummyfunction("""COMPUTED_VALUE"""),1821033)</f>
        <v>1821033</v>
      </c>
      <c r="G26" s="321" t="str">
        <f aca="false">IFERROR(__xludf.dummyfunction("""COMPUTED_VALUE"""),"Mr.")</f>
        <v>Mr.</v>
      </c>
      <c r="H26" s="322" t="str">
        <f aca="false">IFERROR(__xludf.dummyfunction("""COMPUTED_VALUE"""),"Kedar Hruturaj Sanjay")</f>
        <v>Kedar Hruturaj Sanjay</v>
      </c>
      <c r="I26" s="321" t="str">
        <f aca="false">IFERROR(__xludf.dummyfunction("""COMPUTED_VALUE"""),"")</f>
        <v/>
      </c>
      <c r="J26" s="322" t="str">
        <f aca="false">IFERROR(__xludf.dummyfunction("""COMPUTED_VALUE"""),"Kedar")</f>
        <v>Kedar</v>
      </c>
      <c r="K26" s="322" t="str">
        <f aca="false">IFERROR(__xludf.dummyfunction("""COMPUTED_VALUE"""),"Hruturaj")</f>
        <v>Hruturaj</v>
      </c>
      <c r="L26" s="322" t="str">
        <f aca="false">IFERROR(__xludf.dummyfunction("""COMPUTED_VALUE"""),"Sanjay")</f>
        <v>Sanjay</v>
      </c>
      <c r="M26" s="322" t="str">
        <f aca="false">IFERROR(__xludf.dummyfunction("""COMPUTED_VALUE"""),"Kedar Hruturaj Sanjay")</f>
        <v>Kedar Hruturaj Sanjay</v>
      </c>
      <c r="N26" s="322" t="str">
        <f aca="false">IFERROR(__xludf.dummyfunction("""COMPUTED_VALUE"""),"Kedar Hruturaj S.")</f>
        <v>Kedar Hruturaj S.</v>
      </c>
      <c r="O26" s="322" t="str">
        <f aca="false">IFERROR(__xludf.dummyfunction("""COMPUTED_VALUE"""),"Kedar H. S.")</f>
        <v>Kedar H. S.</v>
      </c>
      <c r="P26" s="321" t="str">
        <f aca="false">IFERROR(__xludf.dummyfunction("""COMPUTED_VALUE"""),"REG")</f>
        <v>REG</v>
      </c>
      <c r="Q26" s="322" t="str">
        <f aca="false">IFERROR(__xludf.dummyfunction("""COMPUTED_VALUE"""),"")</f>
        <v/>
      </c>
      <c r="R26" s="322" t="str">
        <f aca="false">IFERROR(__xludf.dummyfunction("""COMPUTED_VALUE"""),"")</f>
        <v/>
      </c>
      <c r="S26" s="322" t="str">
        <f aca="false">IFERROR(__xludf.dummyfunction("""COMPUTED_VALUE"""),"")</f>
        <v/>
      </c>
      <c r="T26" s="321" t="str">
        <f aca="false">IFERROR(__xludf.dummyfunction("""COMPUTED_VALUE"""),"OBC")</f>
        <v>OBC</v>
      </c>
      <c r="U26" s="321" t="str">
        <f aca="false">IFERROR(__xludf.dummyfunction("""COMPUTED_VALUE"""),"M")</f>
        <v>M</v>
      </c>
      <c r="V26" s="321" t="n">
        <f aca="false">IFERROR(__xludf.dummyfunction("""COMPUTED_VALUE"""),2017)</f>
        <v>2017</v>
      </c>
      <c r="W26" s="322" t="str">
        <f aca="false">IFERROR(__xludf.dummyfunction("""COMPUTED_VALUE"""),"6, Amol Appt, Near T.C. College Vivekanand Nagar Baramati-413102")</f>
        <v>6, Amol Appt, Near T.C. College Vivekanand Nagar Baramati-413102</v>
      </c>
      <c r="X26" s="321" t="n">
        <f aca="false">IFERROR(__xludf.dummyfunction("""COMPUTED_VALUE"""),9881937347)</f>
        <v>9881937347</v>
      </c>
      <c r="Y26" s="321" t="n">
        <f aca="false">IFERROR(__xludf.dummyfunction("""COMPUTED_VALUE"""),9881937347)</f>
        <v>9881937347</v>
      </c>
      <c r="Z26" s="175"/>
      <c r="AA26" s="175"/>
      <c r="AB26" s="175"/>
      <c r="AC26" s="175"/>
      <c r="AD26" s="175"/>
      <c r="AE26" s="175"/>
      <c r="AF26" s="175"/>
      <c r="AG26" s="175"/>
      <c r="AH26" s="175"/>
      <c r="AI26" s="175"/>
      <c r="AJ26" s="175"/>
    </row>
    <row r="27" customFormat="false" ht="15.75" hidden="false" customHeight="true" outlineLevel="0" collapsed="false">
      <c r="A27" s="80" t="n">
        <v>22</v>
      </c>
      <c r="B27" s="323" t="n">
        <f aca="false">IFERROR(__xludf.dummyfunction("""COMPUTED_VALUE"""),960)</f>
        <v>960</v>
      </c>
      <c r="C27" s="321" t="str">
        <f aca="false">IFERROR(__xludf.dummyfunction("""COMPUTED_VALUE"""),"COMP")</f>
        <v>COMP</v>
      </c>
      <c r="D27" s="321" t="str">
        <f aca="false">IFERROR(__xludf.dummyfunction("""COMPUTED_VALUE"""),"SE")</f>
        <v>SE</v>
      </c>
      <c r="E27" s="321" t="str">
        <f aca="false">IFERROR(__xludf.dummyfunction("""COMPUTED_VALUE"""),"")</f>
        <v/>
      </c>
      <c r="F27" s="321" t="n">
        <f aca="false">IFERROR(__xludf.dummyfunction("""COMPUTED_VALUE"""),1821034)</f>
        <v>1821034</v>
      </c>
      <c r="G27" s="321" t="str">
        <f aca="false">IFERROR(__xludf.dummyfunction("""COMPUTED_VALUE"""),"Ms.")</f>
        <v>Ms.</v>
      </c>
      <c r="H27" s="322" t="str">
        <f aca="false">IFERROR(__xludf.dummyfunction("""COMPUTED_VALUE"""),"Khaire Bhakti Ravindra")</f>
        <v>Khaire Bhakti Ravindra</v>
      </c>
      <c r="I27" s="321" t="str">
        <f aca="false">IFERROR(__xludf.dummyfunction("""COMPUTED_VALUE"""),"")</f>
        <v/>
      </c>
      <c r="J27" s="322" t="str">
        <f aca="false">IFERROR(__xludf.dummyfunction("""COMPUTED_VALUE"""),"Khaire")</f>
        <v>Khaire</v>
      </c>
      <c r="K27" s="322" t="str">
        <f aca="false">IFERROR(__xludf.dummyfunction("""COMPUTED_VALUE"""),"Bhakti")</f>
        <v>Bhakti</v>
      </c>
      <c r="L27" s="322" t="str">
        <f aca="false">IFERROR(__xludf.dummyfunction("""COMPUTED_VALUE"""),"Ravindra")</f>
        <v>Ravindra</v>
      </c>
      <c r="M27" s="322" t="str">
        <f aca="false">IFERROR(__xludf.dummyfunction("""COMPUTED_VALUE"""),"Khaire Bhakti Ravindra")</f>
        <v>Khaire Bhakti Ravindra</v>
      </c>
      <c r="N27" s="322" t="str">
        <f aca="false">IFERROR(__xludf.dummyfunction("""COMPUTED_VALUE"""),"Khaire Bhakti R.")</f>
        <v>Khaire Bhakti R.</v>
      </c>
      <c r="O27" s="322" t="str">
        <f aca="false">IFERROR(__xludf.dummyfunction("""COMPUTED_VALUE"""),"Khaire B. R.")</f>
        <v>Khaire B. R.</v>
      </c>
      <c r="P27" s="321" t="str">
        <f aca="false">IFERROR(__xludf.dummyfunction("""COMPUTED_VALUE"""),"REG")</f>
        <v>REG</v>
      </c>
      <c r="Q27" s="322" t="str">
        <f aca="false">IFERROR(__xludf.dummyfunction("""COMPUTED_VALUE"""),"")</f>
        <v/>
      </c>
      <c r="R27" s="322" t="str">
        <f aca="false">IFERROR(__xludf.dummyfunction("""COMPUTED_VALUE"""),"")</f>
        <v/>
      </c>
      <c r="S27" s="322" t="str">
        <f aca="false">IFERROR(__xludf.dummyfunction("""COMPUTED_VALUE"""),"")</f>
        <v/>
      </c>
      <c r="T27" s="321" t="str">
        <f aca="false">IFERROR(__xludf.dummyfunction("""COMPUTED_VALUE"""),"OPEN")</f>
        <v>OPEN</v>
      </c>
      <c r="U27" s="321" t="str">
        <f aca="false">IFERROR(__xludf.dummyfunction("""COMPUTED_VALUE"""),"F")</f>
        <v>F</v>
      </c>
      <c r="V27" s="321" t="n">
        <f aca="false">IFERROR(__xludf.dummyfunction("""COMPUTED_VALUE"""),2017)</f>
        <v>2017</v>
      </c>
      <c r="W27" s="322" t="str">
        <f aca="false">IFERROR(__xludf.dummyfunction("""COMPUTED_VALUE"""),"Irrigation Colony, A-12, Patas Road Baramati-413102")</f>
        <v>Irrigation Colony, A-12, Patas Road Baramati-413102</v>
      </c>
      <c r="X27" s="321" t="n">
        <f aca="false">IFERROR(__xludf.dummyfunction("""COMPUTED_VALUE"""),7588032382)</f>
        <v>7588032382</v>
      </c>
      <c r="Y27" s="321" t="n">
        <f aca="false">IFERROR(__xludf.dummyfunction("""COMPUTED_VALUE"""),7588032379)</f>
        <v>7588032379</v>
      </c>
      <c r="Z27" s="175"/>
      <c r="AA27" s="175"/>
      <c r="AB27" s="175"/>
      <c r="AC27" s="175"/>
      <c r="AD27" s="175"/>
      <c r="AE27" s="175"/>
      <c r="AF27" s="175"/>
      <c r="AG27" s="175"/>
      <c r="AH27" s="175"/>
      <c r="AI27" s="175"/>
      <c r="AJ27" s="175"/>
    </row>
    <row r="28" customFormat="false" ht="15.75" hidden="false" customHeight="true" outlineLevel="0" collapsed="false">
      <c r="A28" s="80" t="n">
        <v>23</v>
      </c>
      <c r="B28" s="323" t="n">
        <f aca="false">IFERROR(__xludf.dummyfunction("""COMPUTED_VALUE"""),961)</f>
        <v>961</v>
      </c>
      <c r="C28" s="321" t="str">
        <f aca="false">IFERROR(__xludf.dummyfunction("""COMPUTED_VALUE"""),"COMP")</f>
        <v>COMP</v>
      </c>
      <c r="D28" s="321" t="str">
        <f aca="false">IFERROR(__xludf.dummyfunction("""COMPUTED_VALUE"""),"SE")</f>
        <v>SE</v>
      </c>
      <c r="E28" s="321" t="str">
        <f aca="false">IFERROR(__xludf.dummyfunction("""COMPUTED_VALUE"""),"")</f>
        <v/>
      </c>
      <c r="F28" s="321" t="n">
        <f aca="false">IFERROR(__xludf.dummyfunction("""COMPUTED_VALUE"""),1821037)</f>
        <v>1821037</v>
      </c>
      <c r="G28" s="321" t="str">
        <f aca="false">IFERROR(__xludf.dummyfunction("""COMPUTED_VALUE"""),"Mr.")</f>
        <v>Mr.</v>
      </c>
      <c r="H28" s="322" t="str">
        <f aca="false">IFERROR(__xludf.dummyfunction("""COMPUTED_VALUE"""),"Khot Omkar Nitin")</f>
        <v>Khot Omkar Nitin</v>
      </c>
      <c r="I28" s="321" t="str">
        <f aca="false">IFERROR(__xludf.dummyfunction("""COMPUTED_VALUE"""),"")</f>
        <v/>
      </c>
      <c r="J28" s="322" t="str">
        <f aca="false">IFERROR(__xludf.dummyfunction("""COMPUTED_VALUE"""),"Khot")</f>
        <v>Khot</v>
      </c>
      <c r="K28" s="322" t="str">
        <f aca="false">IFERROR(__xludf.dummyfunction("""COMPUTED_VALUE"""),"Omkar")</f>
        <v>Omkar</v>
      </c>
      <c r="L28" s="322" t="str">
        <f aca="false">IFERROR(__xludf.dummyfunction("""COMPUTED_VALUE"""),"Nitin")</f>
        <v>Nitin</v>
      </c>
      <c r="M28" s="322" t="str">
        <f aca="false">IFERROR(__xludf.dummyfunction("""COMPUTED_VALUE"""),"Khot Omkar Nitin")</f>
        <v>Khot Omkar Nitin</v>
      </c>
      <c r="N28" s="322" t="str">
        <f aca="false">IFERROR(__xludf.dummyfunction("""COMPUTED_VALUE"""),"Khot Omkar N.")</f>
        <v>Khot Omkar N.</v>
      </c>
      <c r="O28" s="322" t="str">
        <f aca="false">IFERROR(__xludf.dummyfunction("""COMPUTED_VALUE"""),"Khot O. N.")</f>
        <v>Khot O. N.</v>
      </c>
      <c r="P28" s="321" t="str">
        <f aca="false">IFERROR(__xludf.dummyfunction("""COMPUTED_VALUE"""),"REG")</f>
        <v>REG</v>
      </c>
      <c r="Q28" s="322" t="str">
        <f aca="false">IFERROR(__xludf.dummyfunction("""COMPUTED_VALUE"""),"")</f>
        <v/>
      </c>
      <c r="R28" s="322" t="str">
        <f aca="false">IFERROR(__xludf.dummyfunction("""COMPUTED_VALUE"""),"")</f>
        <v/>
      </c>
      <c r="S28" s="322" t="str">
        <f aca="false">IFERROR(__xludf.dummyfunction("""COMPUTED_VALUE"""),"")</f>
        <v/>
      </c>
      <c r="T28" s="321" t="str">
        <f aca="false">IFERROR(__xludf.dummyfunction("""COMPUTED_VALUE"""),"OBC")</f>
        <v>OBC</v>
      </c>
      <c r="U28" s="321" t="str">
        <f aca="false">IFERROR(__xludf.dummyfunction("""COMPUTED_VALUE"""),"M")</f>
        <v>M</v>
      </c>
      <c r="V28" s="321" t="n">
        <f aca="false">IFERROR(__xludf.dummyfunction("""COMPUTED_VALUE"""),2017)</f>
        <v>2017</v>
      </c>
      <c r="W28" s="322" t="str">
        <f aca="false">IFERROR(__xludf.dummyfunction("""COMPUTED_VALUE"""),"A.P. Budh Talkhatav Dist.Satara-415503")</f>
        <v>A.P. Budh Talkhatav Dist.Satara-415503</v>
      </c>
      <c r="X28" s="321" t="n">
        <f aca="false">IFERROR(__xludf.dummyfunction("""COMPUTED_VALUE"""),7588684645)</f>
        <v>7588684645</v>
      </c>
      <c r="Y28" s="321" t="n">
        <f aca="false">IFERROR(__xludf.dummyfunction("""COMPUTED_VALUE"""),8975391235)</f>
        <v>8975391235</v>
      </c>
      <c r="Z28" s="175"/>
      <c r="AA28" s="175"/>
      <c r="AB28" s="175"/>
      <c r="AC28" s="175"/>
      <c r="AD28" s="175"/>
      <c r="AE28" s="175"/>
      <c r="AF28" s="175"/>
      <c r="AG28" s="175"/>
      <c r="AH28" s="175"/>
      <c r="AI28" s="175"/>
      <c r="AJ28" s="175"/>
    </row>
    <row r="29" customFormat="false" ht="15.75" hidden="false" customHeight="true" outlineLevel="0" collapsed="false">
      <c r="A29" s="80" t="n">
        <v>24</v>
      </c>
      <c r="B29" s="323" t="n">
        <f aca="false">IFERROR(__xludf.dummyfunction("""COMPUTED_VALUE"""),962)</f>
        <v>962</v>
      </c>
      <c r="C29" s="321" t="str">
        <f aca="false">IFERROR(__xludf.dummyfunction("""COMPUTED_VALUE"""),"COMP")</f>
        <v>COMP</v>
      </c>
      <c r="D29" s="321" t="str">
        <f aca="false">IFERROR(__xludf.dummyfunction("""COMPUTED_VALUE"""),"SE")</f>
        <v>SE</v>
      </c>
      <c r="E29" s="321" t="str">
        <f aca="false">IFERROR(__xludf.dummyfunction("""COMPUTED_VALUE"""),"")</f>
        <v/>
      </c>
      <c r="F29" s="321" t="n">
        <f aca="false">IFERROR(__xludf.dummyfunction("""COMPUTED_VALUE"""),1821040)</f>
        <v>1821040</v>
      </c>
      <c r="G29" s="321" t="str">
        <f aca="false">IFERROR(__xludf.dummyfunction("""COMPUTED_VALUE"""),"Mr.")</f>
        <v>Mr.</v>
      </c>
      <c r="H29" s="322" t="str">
        <f aca="false">IFERROR(__xludf.dummyfunction("""COMPUTED_VALUE"""),"Kothadiya Rounak Samir")</f>
        <v>Kothadiya Rounak Samir</v>
      </c>
      <c r="I29" s="321" t="str">
        <f aca="false">IFERROR(__xludf.dummyfunction("""COMPUTED_VALUE"""),"")</f>
        <v/>
      </c>
      <c r="J29" s="322" t="str">
        <f aca="false">IFERROR(__xludf.dummyfunction("""COMPUTED_VALUE"""),"Kothadiya")</f>
        <v>Kothadiya</v>
      </c>
      <c r="K29" s="322" t="str">
        <f aca="false">IFERROR(__xludf.dummyfunction("""COMPUTED_VALUE"""),"Rounak")</f>
        <v>Rounak</v>
      </c>
      <c r="L29" s="322" t="str">
        <f aca="false">IFERROR(__xludf.dummyfunction("""COMPUTED_VALUE"""),"Samir")</f>
        <v>Samir</v>
      </c>
      <c r="M29" s="322" t="str">
        <f aca="false">IFERROR(__xludf.dummyfunction("""COMPUTED_VALUE"""),"Kothadiya Rounak Samir")</f>
        <v>Kothadiya Rounak Samir</v>
      </c>
      <c r="N29" s="322" t="str">
        <f aca="false">IFERROR(__xludf.dummyfunction("""COMPUTED_VALUE"""),"Kothadiya Rounak S.")</f>
        <v>Kothadiya Rounak S.</v>
      </c>
      <c r="O29" s="322" t="str">
        <f aca="false">IFERROR(__xludf.dummyfunction("""COMPUTED_VALUE"""),"Kothadiya R. S.")</f>
        <v>Kothadiya R. S.</v>
      </c>
      <c r="P29" s="321" t="str">
        <f aca="false">IFERROR(__xludf.dummyfunction("""COMPUTED_VALUE"""),"REG")</f>
        <v>REG</v>
      </c>
      <c r="Q29" s="322" t="str">
        <f aca="false">IFERROR(__xludf.dummyfunction("""COMPUTED_VALUE"""),"")</f>
        <v/>
      </c>
      <c r="R29" s="322" t="str">
        <f aca="false">IFERROR(__xludf.dummyfunction("""COMPUTED_VALUE"""),"")</f>
        <v/>
      </c>
      <c r="S29" s="322" t="str">
        <f aca="false">IFERROR(__xludf.dummyfunction("""COMPUTED_VALUE"""),"")</f>
        <v/>
      </c>
      <c r="T29" s="321" t="str">
        <f aca="false">IFERROR(__xludf.dummyfunction("""COMPUTED_VALUE"""),"OPEN")</f>
        <v>OPEN</v>
      </c>
      <c r="U29" s="321" t="str">
        <f aca="false">IFERROR(__xludf.dummyfunction("""COMPUTED_VALUE"""),"M")</f>
        <v>M</v>
      </c>
      <c r="V29" s="321" t="n">
        <f aca="false">IFERROR(__xludf.dummyfunction("""COMPUTED_VALUE"""),2017)</f>
        <v>2017</v>
      </c>
      <c r="W29" s="322" t="str">
        <f aca="false">IFERROR(__xludf.dummyfunction("""COMPUTED_VALUE"""),"Patas Road, Baramati-413102")</f>
        <v>Patas Road, Baramati-413102</v>
      </c>
      <c r="X29" s="321" t="n">
        <f aca="false">IFERROR(__xludf.dummyfunction("""COMPUTED_VALUE"""),9881020081)</f>
        <v>9881020081</v>
      </c>
      <c r="Y29" s="321" t="n">
        <f aca="false">IFERROR(__xludf.dummyfunction("""COMPUTED_VALUE"""),9657441008)</f>
        <v>9657441008</v>
      </c>
      <c r="Z29" s="175"/>
      <c r="AA29" s="175"/>
      <c r="AB29" s="175"/>
      <c r="AC29" s="175"/>
      <c r="AD29" s="175"/>
      <c r="AE29" s="175"/>
      <c r="AF29" s="175"/>
      <c r="AG29" s="175"/>
      <c r="AH29" s="175"/>
      <c r="AI29" s="175"/>
      <c r="AJ29" s="175"/>
    </row>
    <row r="30" customFormat="false" ht="15.75" hidden="false" customHeight="true" outlineLevel="0" collapsed="false">
      <c r="A30" s="80" t="n">
        <v>25</v>
      </c>
      <c r="B30" s="323" t="n">
        <f aca="false">IFERROR(__xludf.dummyfunction("""COMPUTED_VALUE"""),963)</f>
        <v>963</v>
      </c>
      <c r="C30" s="321" t="str">
        <f aca="false">IFERROR(__xludf.dummyfunction("""COMPUTED_VALUE"""),"COMP")</f>
        <v>COMP</v>
      </c>
      <c r="D30" s="321" t="str">
        <f aca="false">IFERROR(__xludf.dummyfunction("""COMPUTED_VALUE"""),"SE")</f>
        <v>SE</v>
      </c>
      <c r="E30" s="321" t="str">
        <f aca="false">IFERROR(__xludf.dummyfunction("""COMPUTED_VALUE"""),"")</f>
        <v/>
      </c>
      <c r="F30" s="321" t="n">
        <f aca="false">IFERROR(__xludf.dummyfunction("""COMPUTED_VALUE"""),1821041)</f>
        <v>1821041</v>
      </c>
      <c r="G30" s="321" t="str">
        <f aca="false">IFERROR(__xludf.dummyfunction("""COMPUTED_VALUE"""),"Mr.")</f>
        <v>Mr.</v>
      </c>
      <c r="H30" s="322" t="str">
        <f aca="false">IFERROR(__xludf.dummyfunction("""COMPUTED_VALUE"""),"Kulkarni Abhishek Nitin")</f>
        <v>Kulkarni Abhishek Nitin</v>
      </c>
      <c r="I30" s="321" t="str">
        <f aca="false">IFERROR(__xludf.dummyfunction("""COMPUTED_VALUE"""),"")</f>
        <v/>
      </c>
      <c r="J30" s="322" t="str">
        <f aca="false">IFERROR(__xludf.dummyfunction("""COMPUTED_VALUE"""),"Kulkarni")</f>
        <v>Kulkarni</v>
      </c>
      <c r="K30" s="322" t="str">
        <f aca="false">IFERROR(__xludf.dummyfunction("""COMPUTED_VALUE"""),"Abhishek")</f>
        <v>Abhishek</v>
      </c>
      <c r="L30" s="322" t="str">
        <f aca="false">IFERROR(__xludf.dummyfunction("""COMPUTED_VALUE"""),"Nitin")</f>
        <v>Nitin</v>
      </c>
      <c r="M30" s="322" t="str">
        <f aca="false">IFERROR(__xludf.dummyfunction("""COMPUTED_VALUE"""),"Kulkarni Abhishek Nitin")</f>
        <v>Kulkarni Abhishek Nitin</v>
      </c>
      <c r="N30" s="322" t="str">
        <f aca="false">IFERROR(__xludf.dummyfunction("""COMPUTED_VALUE"""),"Kulkarni Abhishek N.")</f>
        <v>Kulkarni Abhishek N.</v>
      </c>
      <c r="O30" s="322" t="str">
        <f aca="false">IFERROR(__xludf.dummyfunction("""COMPUTED_VALUE"""),"Kulkarni A. N.")</f>
        <v>Kulkarni A. N.</v>
      </c>
      <c r="P30" s="321" t="str">
        <f aca="false">IFERROR(__xludf.dummyfunction("""COMPUTED_VALUE"""),"REG")</f>
        <v>REG</v>
      </c>
      <c r="Q30" s="322" t="str">
        <f aca="false">IFERROR(__xludf.dummyfunction("""COMPUTED_VALUE"""),"")</f>
        <v/>
      </c>
      <c r="R30" s="322" t="str">
        <f aca="false">IFERROR(__xludf.dummyfunction("""COMPUTED_VALUE"""),"")</f>
        <v/>
      </c>
      <c r="S30" s="322" t="str">
        <f aca="false">IFERROR(__xludf.dummyfunction("""COMPUTED_VALUE"""),"")</f>
        <v/>
      </c>
      <c r="T30" s="321" t="str">
        <f aca="false">IFERROR(__xludf.dummyfunction("""COMPUTED_VALUE"""),"OPEN")</f>
        <v>OPEN</v>
      </c>
      <c r="U30" s="321" t="str">
        <f aca="false">IFERROR(__xludf.dummyfunction("""COMPUTED_VALUE"""),"M")</f>
        <v>M</v>
      </c>
      <c r="V30" s="321" t="n">
        <f aca="false">IFERROR(__xludf.dummyfunction("""COMPUTED_VALUE"""),2017)</f>
        <v>2017</v>
      </c>
      <c r="W30" s="322" t="str">
        <f aca="false">IFERROR(__xludf.dummyfunction("""COMPUTED_VALUE"""),"Plot No. 98, Golibar Maidan, Phaltan, Dist. Satara-415523")</f>
        <v>Plot No. 98, Golibar Maidan, Phaltan, Dist. Satara-415523</v>
      </c>
      <c r="X30" s="321" t="n">
        <f aca="false">IFERROR(__xludf.dummyfunction("""COMPUTED_VALUE"""),9970565856)</f>
        <v>9970565856</v>
      </c>
      <c r="Y30" s="321" t="n">
        <f aca="false">IFERROR(__xludf.dummyfunction("""COMPUTED_VALUE"""),8806587004)</f>
        <v>8806587004</v>
      </c>
      <c r="Z30" s="175"/>
      <c r="AA30" s="175"/>
      <c r="AB30" s="175"/>
      <c r="AC30" s="175"/>
      <c r="AD30" s="175"/>
      <c r="AE30" s="175"/>
      <c r="AF30" s="175"/>
      <c r="AG30" s="175"/>
      <c r="AH30" s="175"/>
      <c r="AI30" s="175"/>
      <c r="AJ30" s="175"/>
    </row>
    <row r="31" customFormat="false" ht="15.75" hidden="false" customHeight="true" outlineLevel="0" collapsed="false">
      <c r="A31" s="80" t="n">
        <v>26</v>
      </c>
      <c r="B31" s="323" t="n">
        <f aca="false">IFERROR(__xludf.dummyfunction("""COMPUTED_VALUE"""),964)</f>
        <v>964</v>
      </c>
      <c r="C31" s="321" t="str">
        <f aca="false">IFERROR(__xludf.dummyfunction("""COMPUTED_VALUE"""),"COMP")</f>
        <v>COMP</v>
      </c>
      <c r="D31" s="321" t="str">
        <f aca="false">IFERROR(__xludf.dummyfunction("""COMPUTED_VALUE"""),"SE")</f>
        <v>SE</v>
      </c>
      <c r="E31" s="321" t="str">
        <f aca="false">IFERROR(__xludf.dummyfunction("""COMPUTED_VALUE"""),"")</f>
        <v/>
      </c>
      <c r="F31" s="321" t="n">
        <f aca="false">IFERROR(__xludf.dummyfunction("""COMPUTED_VALUE"""),1821042)</f>
        <v>1821042</v>
      </c>
      <c r="G31" s="321" t="str">
        <f aca="false">IFERROR(__xludf.dummyfunction("""COMPUTED_VALUE"""),"Mr.")</f>
        <v>Mr.</v>
      </c>
      <c r="H31" s="322" t="str">
        <f aca="false">IFERROR(__xludf.dummyfunction("""COMPUTED_VALUE"""),"Kulkarni Sarang Shrikant")</f>
        <v>Kulkarni Sarang Shrikant</v>
      </c>
      <c r="I31" s="321" t="str">
        <f aca="false">IFERROR(__xludf.dummyfunction("""COMPUTED_VALUE"""),"")</f>
        <v/>
      </c>
      <c r="J31" s="322" t="str">
        <f aca="false">IFERROR(__xludf.dummyfunction("""COMPUTED_VALUE"""),"Kulkarni")</f>
        <v>Kulkarni</v>
      </c>
      <c r="K31" s="322" t="str">
        <f aca="false">IFERROR(__xludf.dummyfunction("""COMPUTED_VALUE"""),"Sarang")</f>
        <v>Sarang</v>
      </c>
      <c r="L31" s="322" t="str">
        <f aca="false">IFERROR(__xludf.dummyfunction("""COMPUTED_VALUE"""),"Shrikant")</f>
        <v>Shrikant</v>
      </c>
      <c r="M31" s="322" t="str">
        <f aca="false">IFERROR(__xludf.dummyfunction("""COMPUTED_VALUE"""),"Kulkarni Sarang Shrikant")</f>
        <v>Kulkarni Sarang Shrikant</v>
      </c>
      <c r="N31" s="322" t="str">
        <f aca="false">IFERROR(__xludf.dummyfunction("""COMPUTED_VALUE"""),"Kulkarni Sarang S.")</f>
        <v>Kulkarni Sarang S.</v>
      </c>
      <c r="O31" s="322" t="str">
        <f aca="false">IFERROR(__xludf.dummyfunction("""COMPUTED_VALUE"""),"Kulkarni S. S.")</f>
        <v>Kulkarni S. S.</v>
      </c>
      <c r="P31" s="321" t="str">
        <f aca="false">IFERROR(__xludf.dummyfunction("""COMPUTED_VALUE"""),"REG")</f>
        <v>REG</v>
      </c>
      <c r="Q31" s="322" t="str">
        <f aca="false">IFERROR(__xludf.dummyfunction("""COMPUTED_VALUE"""),"")</f>
        <v/>
      </c>
      <c r="R31" s="322" t="str">
        <f aca="false">IFERROR(__xludf.dummyfunction("""COMPUTED_VALUE"""),"")</f>
        <v/>
      </c>
      <c r="S31" s="322" t="str">
        <f aca="false">IFERROR(__xludf.dummyfunction("""COMPUTED_VALUE"""),"")</f>
        <v/>
      </c>
      <c r="T31" s="321" t="str">
        <f aca="false">IFERROR(__xludf.dummyfunction("""COMPUTED_VALUE"""),"OPEN")</f>
        <v>OPEN</v>
      </c>
      <c r="U31" s="321" t="str">
        <f aca="false">IFERROR(__xludf.dummyfunction("""COMPUTED_VALUE"""),"M")</f>
        <v>M</v>
      </c>
      <c r="V31" s="321" t="n">
        <f aca="false">IFERROR(__xludf.dummyfunction("""COMPUTED_VALUE"""),2017)</f>
        <v>2017</v>
      </c>
      <c r="W31" s="322" t="str">
        <f aca="false">IFERROR(__xludf.dummyfunction("""COMPUTED_VALUE"""),"Baramati Agro Ltd, Pimpali, Tal.Baramati Dist.Pune-413102")</f>
        <v>Baramati Agro Ltd, Pimpali, Tal.Baramati Dist.Pune-413102</v>
      </c>
      <c r="X31" s="321" t="n">
        <f aca="false">IFERROR(__xludf.dummyfunction("""COMPUTED_VALUE"""),9763586092)</f>
        <v>9763586092</v>
      </c>
      <c r="Y31" s="321" t="n">
        <f aca="false">IFERROR(__xludf.dummyfunction("""COMPUTED_VALUE"""),9503900846)</f>
        <v>9503900846</v>
      </c>
      <c r="Z31" s="175"/>
      <c r="AA31" s="175"/>
      <c r="AB31" s="175"/>
      <c r="AC31" s="175"/>
      <c r="AD31" s="175"/>
      <c r="AE31" s="175"/>
      <c r="AF31" s="175"/>
      <c r="AG31" s="175"/>
      <c r="AH31" s="175"/>
      <c r="AI31" s="175"/>
      <c r="AJ31" s="175"/>
    </row>
    <row r="32" customFormat="false" ht="15.75" hidden="false" customHeight="true" outlineLevel="0" collapsed="false">
      <c r="A32" s="80" t="n">
        <v>27</v>
      </c>
      <c r="B32" s="323" t="n">
        <f aca="false">IFERROR(__xludf.dummyfunction("""COMPUTED_VALUE"""),965)</f>
        <v>965</v>
      </c>
      <c r="C32" s="321" t="str">
        <f aca="false">IFERROR(__xludf.dummyfunction("""COMPUTED_VALUE"""),"COMP")</f>
        <v>COMP</v>
      </c>
      <c r="D32" s="321" t="str">
        <f aca="false">IFERROR(__xludf.dummyfunction("""COMPUTED_VALUE"""),"SE")</f>
        <v>SE</v>
      </c>
      <c r="E32" s="321" t="str">
        <f aca="false">IFERROR(__xludf.dummyfunction("""COMPUTED_VALUE"""),"")</f>
        <v/>
      </c>
      <c r="F32" s="321" t="n">
        <f aca="false">IFERROR(__xludf.dummyfunction("""COMPUTED_VALUE"""),1821043)</f>
        <v>1821043</v>
      </c>
      <c r="G32" s="321" t="str">
        <f aca="false">IFERROR(__xludf.dummyfunction("""COMPUTED_VALUE"""),"Mr.")</f>
        <v>Mr.</v>
      </c>
      <c r="H32" s="322" t="str">
        <f aca="false">IFERROR(__xludf.dummyfunction("""COMPUTED_VALUE"""),"Kumbhar Vaibhav Madhav")</f>
        <v>Kumbhar Vaibhav Madhav</v>
      </c>
      <c r="I32" s="321" t="str">
        <f aca="false">IFERROR(__xludf.dummyfunction("""COMPUTED_VALUE"""),"")</f>
        <v/>
      </c>
      <c r="J32" s="322" t="str">
        <f aca="false">IFERROR(__xludf.dummyfunction("""COMPUTED_VALUE"""),"Kumbhar")</f>
        <v>Kumbhar</v>
      </c>
      <c r="K32" s="322" t="str">
        <f aca="false">IFERROR(__xludf.dummyfunction("""COMPUTED_VALUE"""),"Vaibhav")</f>
        <v>Vaibhav</v>
      </c>
      <c r="L32" s="322" t="str">
        <f aca="false">IFERROR(__xludf.dummyfunction("""COMPUTED_VALUE"""),"Madhav")</f>
        <v>Madhav</v>
      </c>
      <c r="M32" s="322" t="str">
        <f aca="false">IFERROR(__xludf.dummyfunction("""COMPUTED_VALUE"""),"Kumbhar Vaibhav Madhav")</f>
        <v>Kumbhar Vaibhav Madhav</v>
      </c>
      <c r="N32" s="322" t="str">
        <f aca="false">IFERROR(__xludf.dummyfunction("""COMPUTED_VALUE"""),"Kumbhar Vaibhav M.")</f>
        <v>Kumbhar Vaibhav M.</v>
      </c>
      <c r="O32" s="322" t="str">
        <f aca="false">IFERROR(__xludf.dummyfunction("""COMPUTED_VALUE"""),"Kumbhar V. M.")</f>
        <v>Kumbhar V. M.</v>
      </c>
      <c r="P32" s="321" t="str">
        <f aca="false">IFERROR(__xludf.dummyfunction("""COMPUTED_VALUE"""),"REG")</f>
        <v>REG</v>
      </c>
      <c r="Q32" s="322" t="str">
        <f aca="false">IFERROR(__xludf.dummyfunction("""COMPUTED_VALUE"""),"")</f>
        <v/>
      </c>
      <c r="R32" s="322" t="str">
        <f aca="false">IFERROR(__xludf.dummyfunction("""COMPUTED_VALUE"""),"")</f>
        <v/>
      </c>
      <c r="S32" s="322" t="str">
        <f aca="false">IFERROR(__xludf.dummyfunction("""COMPUTED_VALUE"""),"")</f>
        <v/>
      </c>
      <c r="T32" s="321" t="str">
        <f aca="false">IFERROR(__xludf.dummyfunction("""COMPUTED_VALUE"""),"OBC")</f>
        <v>OBC</v>
      </c>
      <c r="U32" s="321" t="str">
        <f aca="false">IFERROR(__xludf.dummyfunction("""COMPUTED_VALUE"""),"M")</f>
        <v>M</v>
      </c>
      <c r="V32" s="321" t="n">
        <f aca="false">IFERROR(__xludf.dummyfunction("""COMPUTED_VALUE"""),2016)</f>
        <v>2016</v>
      </c>
      <c r="W32" s="322" t="str">
        <f aca="false">IFERROR(__xludf.dummyfunction("""COMPUTED_VALUE"""),"A/P-Dhanlaxminagar, Jintoor Road, Parbhani-431401, M-9421053719")</f>
        <v>A/P-Dhanlaxminagar, Jintoor Road, Parbhani-431401, M-9421053719</v>
      </c>
      <c r="X32" s="321" t="str">
        <f aca="false">IFERROR(__xludf.dummyfunction("""COMPUTED_VALUE"""),"-")</f>
        <v>-</v>
      </c>
      <c r="Y32" s="321" t="n">
        <f aca="false">IFERROR(__xludf.dummyfunction("""COMPUTED_VALUE"""),9422893142)</f>
        <v>9422893142</v>
      </c>
      <c r="Z32" s="175"/>
      <c r="AA32" s="175"/>
      <c r="AB32" s="175"/>
      <c r="AC32" s="175"/>
      <c r="AD32" s="175"/>
      <c r="AE32" s="175"/>
      <c r="AF32" s="175"/>
      <c r="AG32" s="175"/>
      <c r="AH32" s="175"/>
      <c r="AI32" s="175"/>
      <c r="AJ32" s="175"/>
    </row>
    <row r="33" customFormat="false" ht="15.75" hidden="false" customHeight="true" outlineLevel="0" collapsed="false">
      <c r="A33" s="80" t="n">
        <v>28</v>
      </c>
      <c r="B33" s="323" t="n">
        <f aca="false">IFERROR(__xludf.dummyfunction("""COMPUTED_VALUE"""),966)</f>
        <v>966</v>
      </c>
      <c r="C33" s="321" t="str">
        <f aca="false">IFERROR(__xludf.dummyfunction("""COMPUTED_VALUE"""),"COMP")</f>
        <v>COMP</v>
      </c>
      <c r="D33" s="321" t="str">
        <f aca="false">IFERROR(__xludf.dummyfunction("""COMPUTED_VALUE"""),"SE")</f>
        <v>SE</v>
      </c>
      <c r="E33" s="321" t="str">
        <f aca="false">IFERROR(__xludf.dummyfunction("""COMPUTED_VALUE"""),"")</f>
        <v/>
      </c>
      <c r="F33" s="321" t="n">
        <f aca="false">IFERROR(__xludf.dummyfunction("""COMPUTED_VALUE"""),1821045)</f>
        <v>1821045</v>
      </c>
      <c r="G33" s="321" t="str">
        <f aca="false">IFERROR(__xludf.dummyfunction("""COMPUTED_VALUE"""),"Ms.")</f>
        <v>Ms.</v>
      </c>
      <c r="H33" s="322" t="str">
        <f aca="false">IFERROR(__xludf.dummyfunction("""COMPUTED_VALUE"""),"Mahamuni Rucha Dattatraya")</f>
        <v>Mahamuni Rucha Dattatraya</v>
      </c>
      <c r="I33" s="321" t="str">
        <f aca="false">IFERROR(__xludf.dummyfunction("""COMPUTED_VALUE"""),"")</f>
        <v/>
      </c>
      <c r="J33" s="322" t="str">
        <f aca="false">IFERROR(__xludf.dummyfunction("""COMPUTED_VALUE"""),"Mahamuni")</f>
        <v>Mahamuni</v>
      </c>
      <c r="K33" s="322" t="str">
        <f aca="false">IFERROR(__xludf.dummyfunction("""COMPUTED_VALUE"""),"Rucha")</f>
        <v>Rucha</v>
      </c>
      <c r="L33" s="322" t="str">
        <f aca="false">IFERROR(__xludf.dummyfunction("""COMPUTED_VALUE"""),"Dattatraya")</f>
        <v>Dattatraya</v>
      </c>
      <c r="M33" s="322" t="str">
        <f aca="false">IFERROR(__xludf.dummyfunction("""COMPUTED_VALUE"""),"Mahamuni Rucha Dattatraya")</f>
        <v>Mahamuni Rucha Dattatraya</v>
      </c>
      <c r="N33" s="322" t="str">
        <f aca="false">IFERROR(__xludf.dummyfunction("""COMPUTED_VALUE"""),"Mahamuni Rucha D.")</f>
        <v>Mahamuni Rucha D.</v>
      </c>
      <c r="O33" s="322" t="str">
        <f aca="false">IFERROR(__xludf.dummyfunction("""COMPUTED_VALUE"""),"Mahamuni R. D.")</f>
        <v>Mahamuni R. D.</v>
      </c>
      <c r="P33" s="321" t="str">
        <f aca="false">IFERROR(__xludf.dummyfunction("""COMPUTED_VALUE"""),"REG")</f>
        <v>REG</v>
      </c>
      <c r="Q33" s="322" t="str">
        <f aca="false">IFERROR(__xludf.dummyfunction("""COMPUTED_VALUE"""),"")</f>
        <v/>
      </c>
      <c r="R33" s="322" t="str">
        <f aca="false">IFERROR(__xludf.dummyfunction("""COMPUTED_VALUE"""),"")</f>
        <v/>
      </c>
      <c r="S33" s="322" t="str">
        <f aca="false">IFERROR(__xludf.dummyfunction("""COMPUTED_VALUE"""),"")</f>
        <v/>
      </c>
      <c r="T33" s="321" t="str">
        <f aca="false">IFERROR(__xludf.dummyfunction("""COMPUTED_VALUE"""),"OBC")</f>
        <v>OBC</v>
      </c>
      <c r="U33" s="321" t="str">
        <f aca="false">IFERROR(__xludf.dummyfunction("""COMPUTED_VALUE"""),"F")</f>
        <v>F</v>
      </c>
      <c r="V33" s="321" t="n">
        <f aca="false">IFERROR(__xludf.dummyfunction("""COMPUTED_VALUE"""),2017)</f>
        <v>2017</v>
      </c>
      <c r="W33" s="322" t="str">
        <f aca="false">IFERROR(__xludf.dummyfunction("""COMPUTED_VALUE"""),"8 Pushpak Appartments Near T.C. College Vasantnagar Baramati-413102")</f>
        <v>8 Pushpak Appartments Near T.C. College Vasantnagar Baramati-413102</v>
      </c>
      <c r="X33" s="321" t="n">
        <f aca="false">IFERROR(__xludf.dummyfunction("""COMPUTED_VALUE"""),9657241500)</f>
        <v>9657241500</v>
      </c>
      <c r="Y33" s="321" t="n">
        <f aca="false">IFERROR(__xludf.dummyfunction("""COMPUTED_VALUE"""),8308179533)</f>
        <v>8308179533</v>
      </c>
      <c r="Z33" s="175"/>
      <c r="AA33" s="175"/>
      <c r="AB33" s="175"/>
      <c r="AC33" s="175"/>
      <c r="AD33" s="175"/>
      <c r="AE33" s="175"/>
      <c r="AF33" s="175"/>
      <c r="AG33" s="175"/>
      <c r="AH33" s="175"/>
      <c r="AI33" s="175"/>
      <c r="AJ33" s="175"/>
    </row>
    <row r="34" customFormat="false" ht="15.75" hidden="false" customHeight="true" outlineLevel="0" collapsed="false">
      <c r="A34" s="80" t="n">
        <v>29</v>
      </c>
      <c r="B34" s="323" t="n">
        <f aca="false">IFERROR(__xludf.dummyfunction("""COMPUTED_VALUE"""),967)</f>
        <v>967</v>
      </c>
      <c r="C34" s="321" t="str">
        <f aca="false">IFERROR(__xludf.dummyfunction("""COMPUTED_VALUE"""),"COMP")</f>
        <v>COMP</v>
      </c>
      <c r="D34" s="321" t="str">
        <f aca="false">IFERROR(__xludf.dummyfunction("""COMPUTED_VALUE"""),"SE")</f>
        <v>SE</v>
      </c>
      <c r="E34" s="321" t="str">
        <f aca="false">IFERROR(__xludf.dummyfunction("""COMPUTED_VALUE"""),"")</f>
        <v/>
      </c>
      <c r="F34" s="321" t="n">
        <f aca="false">IFERROR(__xludf.dummyfunction("""COMPUTED_VALUE"""),1821046)</f>
        <v>1821046</v>
      </c>
      <c r="G34" s="321" t="str">
        <f aca="false">IFERROR(__xludf.dummyfunction("""COMPUTED_VALUE"""),"Mr.")</f>
        <v>Mr.</v>
      </c>
      <c r="H34" s="322" t="str">
        <f aca="false">IFERROR(__xludf.dummyfunction("""COMPUTED_VALUE"""),"Mallav Sourabh Ramesh")</f>
        <v>Mallav Sourabh Ramesh</v>
      </c>
      <c r="I34" s="321" t="str">
        <f aca="false">IFERROR(__xludf.dummyfunction("""COMPUTED_VALUE"""),"")</f>
        <v/>
      </c>
      <c r="J34" s="322" t="str">
        <f aca="false">IFERROR(__xludf.dummyfunction("""COMPUTED_VALUE"""),"Mallav")</f>
        <v>Mallav</v>
      </c>
      <c r="K34" s="322" t="str">
        <f aca="false">IFERROR(__xludf.dummyfunction("""COMPUTED_VALUE"""),"Sourabh")</f>
        <v>Sourabh</v>
      </c>
      <c r="L34" s="322" t="str">
        <f aca="false">IFERROR(__xludf.dummyfunction("""COMPUTED_VALUE"""),"Ramesh")</f>
        <v>Ramesh</v>
      </c>
      <c r="M34" s="322" t="str">
        <f aca="false">IFERROR(__xludf.dummyfunction("""COMPUTED_VALUE"""),"Mallav Sourabh Ramesh")</f>
        <v>Mallav Sourabh Ramesh</v>
      </c>
      <c r="N34" s="322" t="str">
        <f aca="false">IFERROR(__xludf.dummyfunction("""COMPUTED_VALUE"""),"Mallav Sourabh R.")</f>
        <v>Mallav Sourabh R.</v>
      </c>
      <c r="O34" s="322" t="str">
        <f aca="false">IFERROR(__xludf.dummyfunction("""COMPUTED_VALUE"""),"Mallav S. R.")</f>
        <v>Mallav S. R.</v>
      </c>
      <c r="P34" s="321" t="str">
        <f aca="false">IFERROR(__xludf.dummyfunction("""COMPUTED_VALUE"""),"REG")</f>
        <v>REG</v>
      </c>
      <c r="Q34" s="322" t="str">
        <f aca="false">IFERROR(__xludf.dummyfunction("""COMPUTED_VALUE"""),"")</f>
        <v/>
      </c>
      <c r="R34" s="322" t="str">
        <f aca="false">IFERROR(__xludf.dummyfunction("""COMPUTED_VALUE"""),"")</f>
        <v/>
      </c>
      <c r="S34" s="322" t="str">
        <f aca="false">IFERROR(__xludf.dummyfunction("""COMPUTED_VALUE"""),"")</f>
        <v/>
      </c>
      <c r="T34" s="321" t="str">
        <f aca="false">IFERROR(__xludf.dummyfunction("""COMPUTED_VALUE"""),"NT1")</f>
        <v>NT1</v>
      </c>
      <c r="U34" s="321" t="str">
        <f aca="false">IFERROR(__xludf.dummyfunction("""COMPUTED_VALUE"""),"M")</f>
        <v>M</v>
      </c>
      <c r="V34" s="321" t="n">
        <f aca="false">IFERROR(__xludf.dummyfunction("""COMPUTED_VALUE"""),2017)</f>
        <v>2017</v>
      </c>
      <c r="W34" s="322" t="str">
        <f aca="false">IFERROR(__xludf.dummyfunction("""COMPUTED_VALUE"""),"Shriram Housing Society, Indapur Dist Pune-413106")</f>
        <v>Shriram Housing Society, Indapur Dist Pune-413106</v>
      </c>
      <c r="X34" s="321" t="n">
        <f aca="false">IFERROR(__xludf.dummyfunction("""COMPUTED_VALUE"""),9422522033)</f>
        <v>9422522033</v>
      </c>
      <c r="Y34" s="321" t="n">
        <f aca="false">IFERROR(__xludf.dummyfunction("""COMPUTED_VALUE"""),8600632998)</f>
        <v>8600632998</v>
      </c>
      <c r="Z34" s="175"/>
      <c r="AA34" s="175"/>
      <c r="AB34" s="175"/>
      <c r="AC34" s="175"/>
      <c r="AD34" s="175"/>
      <c r="AE34" s="175"/>
      <c r="AF34" s="175"/>
      <c r="AG34" s="175"/>
      <c r="AH34" s="175"/>
      <c r="AI34" s="175"/>
      <c r="AJ34" s="175"/>
    </row>
    <row r="35" customFormat="false" ht="15.75" hidden="false" customHeight="true" outlineLevel="0" collapsed="false">
      <c r="A35" s="80" t="n">
        <v>30</v>
      </c>
      <c r="B35" s="323" t="n">
        <f aca="false">IFERROR(__xludf.dummyfunction("""COMPUTED_VALUE"""),968)</f>
        <v>968</v>
      </c>
      <c r="C35" s="321" t="str">
        <f aca="false">IFERROR(__xludf.dummyfunction("""COMPUTED_VALUE"""),"COMP")</f>
        <v>COMP</v>
      </c>
      <c r="D35" s="321" t="str">
        <f aca="false">IFERROR(__xludf.dummyfunction("""COMPUTED_VALUE"""),"SE")</f>
        <v>SE</v>
      </c>
      <c r="E35" s="321" t="str">
        <f aca="false">IFERROR(__xludf.dummyfunction("""COMPUTED_VALUE"""),"")</f>
        <v/>
      </c>
      <c r="F35" s="321" t="n">
        <f aca="false">IFERROR(__xludf.dummyfunction("""COMPUTED_VALUE"""),1821047)</f>
        <v>1821047</v>
      </c>
      <c r="G35" s="321" t="str">
        <f aca="false">IFERROR(__xludf.dummyfunction("""COMPUTED_VALUE"""),"Mr.")</f>
        <v>Mr.</v>
      </c>
      <c r="H35" s="322" t="str">
        <f aca="false">IFERROR(__xludf.dummyfunction("""COMPUTED_VALUE"""),"Malusare Prashant Sambhaji")</f>
        <v>Malusare Prashant Sambhaji</v>
      </c>
      <c r="I35" s="321" t="str">
        <f aca="false">IFERROR(__xludf.dummyfunction("""COMPUTED_VALUE"""),"")</f>
        <v/>
      </c>
      <c r="J35" s="322" t="str">
        <f aca="false">IFERROR(__xludf.dummyfunction("""COMPUTED_VALUE"""),"Malusare")</f>
        <v>Malusare</v>
      </c>
      <c r="K35" s="322" t="str">
        <f aca="false">IFERROR(__xludf.dummyfunction("""COMPUTED_VALUE"""),"Prashant")</f>
        <v>Prashant</v>
      </c>
      <c r="L35" s="322" t="str">
        <f aca="false">IFERROR(__xludf.dummyfunction("""COMPUTED_VALUE"""),"Sambhaji")</f>
        <v>Sambhaji</v>
      </c>
      <c r="M35" s="322" t="str">
        <f aca="false">IFERROR(__xludf.dummyfunction("""COMPUTED_VALUE"""),"Malusare Prashant Sambhaji")</f>
        <v>Malusare Prashant Sambhaji</v>
      </c>
      <c r="N35" s="322" t="str">
        <f aca="false">IFERROR(__xludf.dummyfunction("""COMPUTED_VALUE"""),"Malusare Prashant S.")</f>
        <v>Malusare Prashant S.</v>
      </c>
      <c r="O35" s="322" t="str">
        <f aca="false">IFERROR(__xludf.dummyfunction("""COMPUTED_VALUE"""),"Malusare P. S.")</f>
        <v>Malusare P. S.</v>
      </c>
      <c r="P35" s="321" t="str">
        <f aca="false">IFERROR(__xludf.dummyfunction("""COMPUTED_VALUE"""),"REG")</f>
        <v>REG</v>
      </c>
      <c r="Q35" s="322" t="str">
        <f aca="false">IFERROR(__xludf.dummyfunction("""COMPUTED_VALUE"""),"")</f>
        <v/>
      </c>
      <c r="R35" s="322" t="str">
        <f aca="false">IFERROR(__xludf.dummyfunction("""COMPUTED_VALUE"""),"")</f>
        <v/>
      </c>
      <c r="S35" s="322" t="str">
        <f aca="false">IFERROR(__xludf.dummyfunction("""COMPUTED_VALUE"""),"")</f>
        <v/>
      </c>
      <c r="T35" s="321" t="str">
        <f aca="false">IFERROR(__xludf.dummyfunction("""COMPUTED_VALUE"""),"OPEN")</f>
        <v>OPEN</v>
      </c>
      <c r="U35" s="321" t="str">
        <f aca="false">IFERROR(__xludf.dummyfunction("""COMPUTED_VALUE"""),"M")</f>
        <v>M</v>
      </c>
      <c r="V35" s="321" t="n">
        <f aca="false">IFERROR(__xludf.dummyfunction("""COMPUTED_VALUE"""),2017)</f>
        <v>2017</v>
      </c>
      <c r="W35" s="322" t="str">
        <f aca="false">IFERROR(__xludf.dummyfunction("""COMPUTED_VALUE"""),"At Pawarwadi Post. Ajunj Shrigonda Dist. A'nagar-414701")</f>
        <v>At Pawarwadi Post. Ajunj Shrigonda Dist. A'nagar-414701</v>
      </c>
      <c r="X35" s="321" t="n">
        <f aca="false">IFERROR(__xludf.dummyfunction("""COMPUTED_VALUE"""),8888032078)</f>
        <v>8888032078</v>
      </c>
      <c r="Y35" s="321" t="n">
        <f aca="false">IFERROR(__xludf.dummyfunction("""COMPUTED_VALUE"""),8805279381)</f>
        <v>8805279381</v>
      </c>
      <c r="Z35" s="175"/>
      <c r="AA35" s="175"/>
      <c r="AB35" s="175"/>
      <c r="AC35" s="175"/>
      <c r="AD35" s="175"/>
      <c r="AE35" s="175"/>
      <c r="AF35" s="175"/>
      <c r="AG35" s="175"/>
      <c r="AH35" s="175"/>
      <c r="AI35" s="175"/>
      <c r="AJ35" s="175"/>
    </row>
    <row r="36" customFormat="false" ht="15.75" hidden="false" customHeight="true" outlineLevel="0" collapsed="false">
      <c r="A36" s="80" t="n">
        <v>31</v>
      </c>
      <c r="B36" s="323" t="n">
        <f aca="false">IFERROR(__xludf.dummyfunction("""COMPUTED_VALUE"""),969)</f>
        <v>969</v>
      </c>
      <c r="C36" s="321" t="str">
        <f aca="false">IFERROR(__xludf.dummyfunction("""COMPUTED_VALUE"""),"COMP")</f>
        <v>COMP</v>
      </c>
      <c r="D36" s="321" t="str">
        <f aca="false">IFERROR(__xludf.dummyfunction("""COMPUTED_VALUE"""),"SE")</f>
        <v>SE</v>
      </c>
      <c r="E36" s="321" t="str">
        <f aca="false">IFERROR(__xludf.dummyfunction("""COMPUTED_VALUE"""),"")</f>
        <v/>
      </c>
      <c r="F36" s="321" t="n">
        <f aca="false">IFERROR(__xludf.dummyfunction("""COMPUTED_VALUE"""),1821048)</f>
        <v>1821048</v>
      </c>
      <c r="G36" s="321" t="str">
        <f aca="false">IFERROR(__xludf.dummyfunction("""COMPUTED_VALUE"""),"Ms.")</f>
        <v>Ms.</v>
      </c>
      <c r="H36" s="322" t="str">
        <f aca="false">IFERROR(__xludf.dummyfunction("""COMPUTED_VALUE"""),"Maniyar Priyanka Ajay")</f>
        <v>Maniyar Priyanka Ajay</v>
      </c>
      <c r="I36" s="321" t="str">
        <f aca="false">IFERROR(__xludf.dummyfunction("""COMPUTED_VALUE"""),"")</f>
        <v/>
      </c>
      <c r="J36" s="322" t="str">
        <f aca="false">IFERROR(__xludf.dummyfunction("""COMPUTED_VALUE"""),"Maniyar")</f>
        <v>Maniyar</v>
      </c>
      <c r="K36" s="322" t="str">
        <f aca="false">IFERROR(__xludf.dummyfunction("""COMPUTED_VALUE"""),"Priyanka")</f>
        <v>Priyanka</v>
      </c>
      <c r="L36" s="322" t="str">
        <f aca="false">IFERROR(__xludf.dummyfunction("""COMPUTED_VALUE"""),"Ajay")</f>
        <v>Ajay</v>
      </c>
      <c r="M36" s="322" t="str">
        <f aca="false">IFERROR(__xludf.dummyfunction("""COMPUTED_VALUE"""),"Maniyar Priyanka Ajay")</f>
        <v>Maniyar Priyanka Ajay</v>
      </c>
      <c r="N36" s="322" t="str">
        <f aca="false">IFERROR(__xludf.dummyfunction("""COMPUTED_VALUE"""),"Maniyar Priyanka A.")</f>
        <v>Maniyar Priyanka A.</v>
      </c>
      <c r="O36" s="322" t="str">
        <f aca="false">IFERROR(__xludf.dummyfunction("""COMPUTED_VALUE"""),"Maniyar P. A.")</f>
        <v>Maniyar P. A.</v>
      </c>
      <c r="P36" s="321" t="str">
        <f aca="false">IFERROR(__xludf.dummyfunction("""COMPUTED_VALUE"""),"REG")</f>
        <v>REG</v>
      </c>
      <c r="Q36" s="322" t="str">
        <f aca="false">IFERROR(__xludf.dummyfunction("""COMPUTED_VALUE"""),"")</f>
        <v/>
      </c>
      <c r="R36" s="322" t="str">
        <f aca="false">IFERROR(__xludf.dummyfunction("""COMPUTED_VALUE"""),"")</f>
        <v/>
      </c>
      <c r="S36" s="322" t="str">
        <f aca="false">IFERROR(__xludf.dummyfunction("""COMPUTED_VALUE"""),"")</f>
        <v/>
      </c>
      <c r="T36" s="321" t="str">
        <f aca="false">IFERROR(__xludf.dummyfunction("""COMPUTED_VALUE"""),"OPEN")</f>
        <v>OPEN</v>
      </c>
      <c r="U36" s="321" t="str">
        <f aca="false">IFERROR(__xludf.dummyfunction("""COMPUTED_VALUE"""),"F")</f>
        <v>F</v>
      </c>
      <c r="V36" s="321" t="n">
        <f aca="false">IFERROR(__xludf.dummyfunction("""COMPUTED_VALUE"""),2017)</f>
        <v>2017</v>
      </c>
      <c r="W36" s="322" t="str">
        <f aca="false">IFERROR(__xludf.dummyfunction("""COMPUTED_VALUE"""),"D-5, Sayali Sugandh Apprtments, Vidyanagar, Bhigwan Road Baramati-413102")</f>
        <v>D-5, Sayali Sugandh Apprtments, Vidyanagar, Bhigwan Road Baramati-413102</v>
      </c>
      <c r="X36" s="321" t="n">
        <f aca="false">IFERROR(__xludf.dummyfunction("""COMPUTED_VALUE"""),9860030760)</f>
        <v>9860030760</v>
      </c>
      <c r="Y36" s="321" t="n">
        <f aca="false">IFERROR(__xludf.dummyfunction("""COMPUTED_VALUE"""),7083850659)</f>
        <v>7083850659</v>
      </c>
      <c r="Z36" s="175"/>
      <c r="AA36" s="175"/>
      <c r="AB36" s="175"/>
      <c r="AC36" s="175"/>
      <c r="AD36" s="175"/>
      <c r="AE36" s="175"/>
      <c r="AF36" s="175"/>
      <c r="AG36" s="175"/>
      <c r="AH36" s="175"/>
      <c r="AI36" s="175"/>
      <c r="AJ36" s="175"/>
    </row>
    <row r="37" customFormat="false" ht="15.75" hidden="false" customHeight="true" outlineLevel="0" collapsed="false">
      <c r="A37" s="80" t="n">
        <v>32</v>
      </c>
      <c r="B37" s="323" t="n">
        <f aca="false">IFERROR(__xludf.dummyfunction("""COMPUTED_VALUE"""),970)</f>
        <v>970</v>
      </c>
      <c r="C37" s="321" t="str">
        <f aca="false">IFERROR(__xludf.dummyfunction("""COMPUTED_VALUE"""),"COMP")</f>
        <v>COMP</v>
      </c>
      <c r="D37" s="321" t="str">
        <f aca="false">IFERROR(__xludf.dummyfunction("""COMPUTED_VALUE"""),"SE")</f>
        <v>SE</v>
      </c>
      <c r="E37" s="321" t="str">
        <f aca="false">IFERROR(__xludf.dummyfunction("""COMPUTED_VALUE"""),"")</f>
        <v/>
      </c>
      <c r="F37" s="321" t="n">
        <f aca="false">IFERROR(__xludf.dummyfunction("""COMPUTED_VALUE"""),1821049)</f>
        <v>1821049</v>
      </c>
      <c r="G37" s="321" t="str">
        <f aca="false">IFERROR(__xludf.dummyfunction("""COMPUTED_VALUE"""),"Ms.")</f>
        <v>Ms.</v>
      </c>
      <c r="H37" s="322" t="str">
        <f aca="false">IFERROR(__xludf.dummyfunction("""COMPUTED_VALUE"""),"Masal Amruta Mahadeo")</f>
        <v>Masal Amruta Mahadeo</v>
      </c>
      <c r="I37" s="321" t="str">
        <f aca="false">IFERROR(__xludf.dummyfunction("""COMPUTED_VALUE"""),"")</f>
        <v/>
      </c>
      <c r="J37" s="322" t="str">
        <f aca="false">IFERROR(__xludf.dummyfunction("""COMPUTED_VALUE"""),"Masal")</f>
        <v>Masal</v>
      </c>
      <c r="K37" s="322" t="str">
        <f aca="false">IFERROR(__xludf.dummyfunction("""COMPUTED_VALUE"""),"Amruta")</f>
        <v>Amruta</v>
      </c>
      <c r="L37" s="322" t="str">
        <f aca="false">IFERROR(__xludf.dummyfunction("""COMPUTED_VALUE"""),"Mahadeo")</f>
        <v>Mahadeo</v>
      </c>
      <c r="M37" s="322" t="str">
        <f aca="false">IFERROR(__xludf.dummyfunction("""COMPUTED_VALUE"""),"Masal Amruta Mahadeo")</f>
        <v>Masal Amruta Mahadeo</v>
      </c>
      <c r="N37" s="322" t="str">
        <f aca="false">IFERROR(__xludf.dummyfunction("""COMPUTED_VALUE"""),"Masal Amruta M.")</f>
        <v>Masal Amruta M.</v>
      </c>
      <c r="O37" s="322" t="str">
        <f aca="false">IFERROR(__xludf.dummyfunction("""COMPUTED_VALUE"""),"Masal A. M.")</f>
        <v>Masal A. M.</v>
      </c>
      <c r="P37" s="321" t="str">
        <f aca="false">IFERROR(__xludf.dummyfunction("""COMPUTED_VALUE"""),"REG")</f>
        <v>REG</v>
      </c>
      <c r="Q37" s="322" t="str">
        <f aca="false">IFERROR(__xludf.dummyfunction("""COMPUTED_VALUE"""),"")</f>
        <v/>
      </c>
      <c r="R37" s="322" t="str">
        <f aca="false">IFERROR(__xludf.dummyfunction("""COMPUTED_VALUE"""),"")</f>
        <v/>
      </c>
      <c r="S37" s="322" t="str">
        <f aca="false">IFERROR(__xludf.dummyfunction("""COMPUTED_VALUE"""),"")</f>
        <v/>
      </c>
      <c r="T37" s="321" t="str">
        <f aca="false">IFERROR(__xludf.dummyfunction("""COMPUTED_VALUE"""),"NT2")</f>
        <v>NT2</v>
      </c>
      <c r="U37" s="321" t="str">
        <f aca="false">IFERROR(__xludf.dummyfunction("""COMPUTED_VALUE"""),"F")</f>
        <v>F</v>
      </c>
      <c r="V37" s="321" t="n">
        <f aca="false">IFERROR(__xludf.dummyfunction("""COMPUTED_VALUE"""),2017)</f>
        <v>2017</v>
      </c>
      <c r="W37" s="322" t="str">
        <f aca="false">IFERROR(__xludf.dummyfunction("""COMPUTED_VALUE"""),"A.P. Zargadwadi Tal. Baramati Dist Pune-413102")</f>
        <v>A.P. Zargadwadi Tal. Baramati Dist Pune-413102</v>
      </c>
      <c r="X37" s="321" t="n">
        <f aca="false">IFERROR(__xludf.dummyfunction("""COMPUTED_VALUE"""),8888609662)</f>
        <v>8888609662</v>
      </c>
      <c r="Y37" s="321" t="n">
        <f aca="false">IFERROR(__xludf.dummyfunction("""COMPUTED_VALUE"""),8888609662)</f>
        <v>8888609662</v>
      </c>
      <c r="Z37" s="175"/>
      <c r="AA37" s="175"/>
      <c r="AB37" s="175"/>
      <c r="AC37" s="175"/>
      <c r="AD37" s="175"/>
      <c r="AE37" s="175"/>
      <c r="AF37" s="175"/>
      <c r="AG37" s="175"/>
      <c r="AH37" s="175"/>
      <c r="AI37" s="175"/>
      <c r="AJ37" s="175"/>
    </row>
    <row r="38" customFormat="false" ht="15.75" hidden="false" customHeight="true" outlineLevel="0" collapsed="false">
      <c r="A38" s="80" t="n">
        <v>33</v>
      </c>
      <c r="B38" s="323" t="n">
        <f aca="false">IFERROR(__xludf.dummyfunction("""COMPUTED_VALUE"""),971)</f>
        <v>971</v>
      </c>
      <c r="C38" s="321" t="str">
        <f aca="false">IFERROR(__xludf.dummyfunction("""COMPUTED_VALUE"""),"COMP")</f>
        <v>COMP</v>
      </c>
      <c r="D38" s="321" t="str">
        <f aca="false">IFERROR(__xludf.dummyfunction("""COMPUTED_VALUE"""),"SE")</f>
        <v>SE</v>
      </c>
      <c r="E38" s="321" t="str">
        <f aca="false">IFERROR(__xludf.dummyfunction("""COMPUTED_VALUE"""),"")</f>
        <v/>
      </c>
      <c r="F38" s="321" t="n">
        <f aca="false">IFERROR(__xludf.dummyfunction("""COMPUTED_VALUE"""),1821050)</f>
        <v>1821050</v>
      </c>
      <c r="G38" s="321" t="str">
        <f aca="false">IFERROR(__xludf.dummyfunction("""COMPUTED_VALUE"""),"Ms.")</f>
        <v>Ms.</v>
      </c>
      <c r="H38" s="322" t="str">
        <f aca="false">IFERROR(__xludf.dummyfunction("""COMPUTED_VALUE"""),"Oswal Mittal Nitin")</f>
        <v>Oswal Mittal Nitin</v>
      </c>
      <c r="I38" s="321" t="str">
        <f aca="false">IFERROR(__xludf.dummyfunction("""COMPUTED_VALUE"""),"")</f>
        <v/>
      </c>
      <c r="J38" s="322" t="str">
        <f aca="false">IFERROR(__xludf.dummyfunction("""COMPUTED_VALUE"""),"Oswal")</f>
        <v>Oswal</v>
      </c>
      <c r="K38" s="322" t="str">
        <f aca="false">IFERROR(__xludf.dummyfunction("""COMPUTED_VALUE"""),"Mittal")</f>
        <v>Mittal</v>
      </c>
      <c r="L38" s="322" t="str">
        <f aca="false">IFERROR(__xludf.dummyfunction("""COMPUTED_VALUE"""),"Nitin")</f>
        <v>Nitin</v>
      </c>
      <c r="M38" s="322" t="str">
        <f aca="false">IFERROR(__xludf.dummyfunction("""COMPUTED_VALUE"""),"Oswal Mittal Nitin")</f>
        <v>Oswal Mittal Nitin</v>
      </c>
      <c r="N38" s="322" t="str">
        <f aca="false">IFERROR(__xludf.dummyfunction("""COMPUTED_VALUE"""),"Oswal Mittal N.")</f>
        <v>Oswal Mittal N.</v>
      </c>
      <c r="O38" s="322" t="str">
        <f aca="false">IFERROR(__xludf.dummyfunction("""COMPUTED_VALUE"""),"Oswal M. N.")</f>
        <v>Oswal M. N.</v>
      </c>
      <c r="P38" s="321" t="str">
        <f aca="false">IFERROR(__xludf.dummyfunction("""COMPUTED_VALUE"""),"REG")</f>
        <v>REG</v>
      </c>
      <c r="Q38" s="322" t="str">
        <f aca="false">IFERROR(__xludf.dummyfunction("""COMPUTED_VALUE"""),"")</f>
        <v/>
      </c>
      <c r="R38" s="322" t="str">
        <f aca="false">IFERROR(__xludf.dummyfunction("""COMPUTED_VALUE"""),"")</f>
        <v/>
      </c>
      <c r="S38" s="322" t="str">
        <f aca="false">IFERROR(__xludf.dummyfunction("""COMPUTED_VALUE"""),"")</f>
        <v/>
      </c>
      <c r="T38" s="321" t="str">
        <f aca="false">IFERROR(__xludf.dummyfunction("""COMPUTED_VALUE"""),"OPEN")</f>
        <v>OPEN</v>
      </c>
      <c r="U38" s="321" t="str">
        <f aca="false">IFERROR(__xludf.dummyfunction("""COMPUTED_VALUE"""),"F")</f>
        <v>F</v>
      </c>
      <c r="V38" s="321" t="n">
        <f aca="false">IFERROR(__xludf.dummyfunction("""COMPUTED_VALUE"""),2017)</f>
        <v>2017</v>
      </c>
      <c r="W38" s="322" t="str">
        <f aca="false">IFERROR(__xludf.dummyfunction("""COMPUTED_VALUE"""),"Flat No.4, Shivshakti Appt.,Koshti Galli, Baramati-413102")</f>
        <v>Flat No.4, Shivshakti Appt.,Koshti Galli, Baramati-413102</v>
      </c>
      <c r="X38" s="321" t="n">
        <f aca="false">IFERROR(__xludf.dummyfunction("""COMPUTED_VALUE"""),9588277324)</f>
        <v>9588277324</v>
      </c>
      <c r="Y38" s="321" t="n">
        <f aca="false">IFERROR(__xludf.dummyfunction("""COMPUTED_VALUE"""),9850200575)</f>
        <v>9850200575</v>
      </c>
      <c r="Z38" s="175"/>
      <c r="AA38" s="175"/>
      <c r="AB38" s="175"/>
      <c r="AC38" s="175"/>
      <c r="AD38" s="175"/>
      <c r="AE38" s="175"/>
      <c r="AF38" s="175"/>
      <c r="AG38" s="175"/>
      <c r="AH38" s="175"/>
      <c r="AI38" s="175"/>
      <c r="AJ38" s="175"/>
    </row>
    <row r="39" customFormat="false" ht="15.75" hidden="false" customHeight="true" outlineLevel="0" collapsed="false">
      <c r="A39" s="80" t="n">
        <v>34</v>
      </c>
      <c r="B39" s="323" t="n">
        <f aca="false">IFERROR(__xludf.dummyfunction("""COMPUTED_VALUE"""),972)</f>
        <v>972</v>
      </c>
      <c r="C39" s="321" t="str">
        <f aca="false">IFERROR(__xludf.dummyfunction("""COMPUTED_VALUE"""),"COMP")</f>
        <v>COMP</v>
      </c>
      <c r="D39" s="321" t="str">
        <f aca="false">IFERROR(__xludf.dummyfunction("""COMPUTED_VALUE"""),"SE")</f>
        <v>SE</v>
      </c>
      <c r="E39" s="321" t="str">
        <f aca="false">IFERROR(__xludf.dummyfunction("""COMPUTED_VALUE"""),"")</f>
        <v/>
      </c>
      <c r="F39" s="321" t="n">
        <f aca="false">IFERROR(__xludf.dummyfunction("""COMPUTED_VALUE"""),1821051)</f>
        <v>1821051</v>
      </c>
      <c r="G39" s="321" t="str">
        <f aca="false">IFERROR(__xludf.dummyfunction("""COMPUTED_VALUE"""),"Ms.")</f>
        <v>Ms.</v>
      </c>
      <c r="H39" s="322" t="str">
        <f aca="false">IFERROR(__xludf.dummyfunction("""COMPUTED_VALUE"""),"Palve Vaishnavi Shridhar")</f>
        <v>Palve Vaishnavi Shridhar</v>
      </c>
      <c r="I39" s="321" t="str">
        <f aca="false">IFERROR(__xludf.dummyfunction("""COMPUTED_VALUE"""),"")</f>
        <v/>
      </c>
      <c r="J39" s="322" t="str">
        <f aca="false">IFERROR(__xludf.dummyfunction("""COMPUTED_VALUE"""),"Palve")</f>
        <v>Palve</v>
      </c>
      <c r="K39" s="322" t="str">
        <f aca="false">IFERROR(__xludf.dummyfunction("""COMPUTED_VALUE"""),"Vaishnavi")</f>
        <v>Vaishnavi</v>
      </c>
      <c r="L39" s="322" t="str">
        <f aca="false">IFERROR(__xludf.dummyfunction("""COMPUTED_VALUE"""),"Shridhar")</f>
        <v>Shridhar</v>
      </c>
      <c r="M39" s="322" t="str">
        <f aca="false">IFERROR(__xludf.dummyfunction("""COMPUTED_VALUE"""),"Palve Vaishnavi Shridhar")</f>
        <v>Palve Vaishnavi Shridhar</v>
      </c>
      <c r="N39" s="322" t="str">
        <f aca="false">IFERROR(__xludf.dummyfunction("""COMPUTED_VALUE"""),"Palve Vaishnavi S.")</f>
        <v>Palve Vaishnavi S.</v>
      </c>
      <c r="O39" s="322" t="str">
        <f aca="false">IFERROR(__xludf.dummyfunction("""COMPUTED_VALUE"""),"Palve V. S.")</f>
        <v>Palve V. S.</v>
      </c>
      <c r="P39" s="321" t="str">
        <f aca="false">IFERROR(__xludf.dummyfunction("""COMPUTED_VALUE"""),"REG")</f>
        <v>REG</v>
      </c>
      <c r="Q39" s="322" t="str">
        <f aca="false">IFERROR(__xludf.dummyfunction("""COMPUTED_VALUE"""),"")</f>
        <v/>
      </c>
      <c r="R39" s="322" t="str">
        <f aca="false">IFERROR(__xludf.dummyfunction("""COMPUTED_VALUE"""),"")</f>
        <v/>
      </c>
      <c r="S39" s="322" t="str">
        <f aca="false">IFERROR(__xludf.dummyfunction("""COMPUTED_VALUE"""),"")</f>
        <v/>
      </c>
      <c r="T39" s="321" t="str">
        <f aca="false">IFERROR(__xludf.dummyfunction("""COMPUTED_VALUE"""),"NT3")</f>
        <v>NT3</v>
      </c>
      <c r="U39" s="321" t="str">
        <f aca="false">IFERROR(__xludf.dummyfunction("""COMPUTED_VALUE"""),"F")</f>
        <v>F</v>
      </c>
      <c r="V39" s="321" t="n">
        <f aca="false">IFERROR(__xludf.dummyfunction("""COMPUTED_VALUE"""),2016)</f>
        <v>2016</v>
      </c>
      <c r="W39" s="322" t="str">
        <f aca="false">IFERROR(__xludf.dummyfunction("""COMPUTED_VALUE"""),"A/P-Deorai, Tal-Pathardi, Dist-Ahmednagar")</f>
        <v>A/P-Deorai, Tal-Pathardi, Dist-Ahmednagar</v>
      </c>
      <c r="X39" s="321" t="n">
        <f aca="false">IFERROR(__xludf.dummyfunction("""COMPUTED_VALUE"""),9420001973)</f>
        <v>9420001973</v>
      </c>
      <c r="Y39" s="321" t="n">
        <f aca="false">IFERROR(__xludf.dummyfunction("""COMPUTED_VALUE"""),8975216491)</f>
        <v>8975216491</v>
      </c>
      <c r="Z39" s="175"/>
      <c r="AA39" s="175"/>
      <c r="AB39" s="175"/>
      <c r="AC39" s="175"/>
      <c r="AD39" s="175"/>
      <c r="AE39" s="175"/>
      <c r="AF39" s="175"/>
      <c r="AG39" s="175"/>
      <c r="AH39" s="175"/>
      <c r="AI39" s="175"/>
      <c r="AJ39" s="175"/>
    </row>
    <row r="40" customFormat="false" ht="15.75" hidden="false" customHeight="true" outlineLevel="0" collapsed="false">
      <c r="A40" s="80" t="n">
        <v>35</v>
      </c>
      <c r="B40" s="323" t="n">
        <f aca="false">IFERROR(__xludf.dummyfunction("""COMPUTED_VALUE"""),973)</f>
        <v>973</v>
      </c>
      <c r="C40" s="321" t="str">
        <f aca="false">IFERROR(__xludf.dummyfunction("""COMPUTED_VALUE"""),"COMP")</f>
        <v>COMP</v>
      </c>
      <c r="D40" s="321" t="str">
        <f aca="false">IFERROR(__xludf.dummyfunction("""COMPUTED_VALUE"""),"SE")</f>
        <v>SE</v>
      </c>
      <c r="E40" s="321" t="str">
        <f aca="false">IFERROR(__xludf.dummyfunction("""COMPUTED_VALUE"""),"")</f>
        <v/>
      </c>
      <c r="F40" s="321" t="n">
        <f aca="false">IFERROR(__xludf.dummyfunction("""COMPUTED_VALUE"""),1821052)</f>
        <v>1821052</v>
      </c>
      <c r="G40" s="321" t="str">
        <f aca="false">IFERROR(__xludf.dummyfunction("""COMPUTED_VALUE"""),"Ms.")</f>
        <v>Ms.</v>
      </c>
      <c r="H40" s="322" t="str">
        <f aca="false">IFERROR(__xludf.dummyfunction("""COMPUTED_VALUE"""),"Pawar Anita Sanjay")</f>
        <v>Pawar Anita Sanjay</v>
      </c>
      <c r="I40" s="321" t="str">
        <f aca="false">IFERROR(__xludf.dummyfunction("""COMPUTED_VALUE"""),"")</f>
        <v/>
      </c>
      <c r="J40" s="322" t="str">
        <f aca="false">IFERROR(__xludf.dummyfunction("""COMPUTED_VALUE"""),"Pawar")</f>
        <v>Pawar</v>
      </c>
      <c r="K40" s="322" t="str">
        <f aca="false">IFERROR(__xludf.dummyfunction("""COMPUTED_VALUE"""),"Anita")</f>
        <v>Anita</v>
      </c>
      <c r="L40" s="322" t="str">
        <f aca="false">IFERROR(__xludf.dummyfunction("""COMPUTED_VALUE"""),"Sanjay")</f>
        <v>Sanjay</v>
      </c>
      <c r="M40" s="322" t="str">
        <f aca="false">IFERROR(__xludf.dummyfunction("""COMPUTED_VALUE"""),"Pawar Anita Sanjay")</f>
        <v>Pawar Anita Sanjay</v>
      </c>
      <c r="N40" s="322" t="str">
        <f aca="false">IFERROR(__xludf.dummyfunction("""COMPUTED_VALUE"""),"Pawar Anita S.")</f>
        <v>Pawar Anita S.</v>
      </c>
      <c r="O40" s="322" t="str">
        <f aca="false">IFERROR(__xludf.dummyfunction("""COMPUTED_VALUE"""),"Pawar A. S.")</f>
        <v>Pawar A. S.</v>
      </c>
      <c r="P40" s="321" t="str">
        <f aca="false">IFERROR(__xludf.dummyfunction("""COMPUTED_VALUE"""),"REG")</f>
        <v>REG</v>
      </c>
      <c r="Q40" s="322" t="str">
        <f aca="false">IFERROR(__xludf.dummyfunction("""COMPUTED_VALUE"""),"")</f>
        <v/>
      </c>
      <c r="R40" s="322" t="str">
        <f aca="false">IFERROR(__xludf.dummyfunction("""COMPUTED_VALUE"""),"")</f>
        <v/>
      </c>
      <c r="S40" s="322" t="str">
        <f aca="false">IFERROR(__xludf.dummyfunction("""COMPUTED_VALUE"""),"")</f>
        <v/>
      </c>
      <c r="T40" s="321" t="str">
        <f aca="false">IFERROR(__xludf.dummyfunction("""COMPUTED_VALUE"""),"OBC")</f>
        <v>OBC</v>
      </c>
      <c r="U40" s="321" t="str">
        <f aca="false">IFERROR(__xludf.dummyfunction("""COMPUTED_VALUE"""),"F")</f>
        <v>F</v>
      </c>
      <c r="V40" s="321" t="n">
        <f aca="false">IFERROR(__xludf.dummyfunction("""COMPUTED_VALUE"""),2017)</f>
        <v>2017</v>
      </c>
      <c r="W40" s="322" t="str">
        <f aca="false">IFERROR(__xludf.dummyfunction("""COMPUTED_VALUE"""),"Sainagar, Tandulwadi Road Baramati-413102")</f>
        <v>Sainagar, Tandulwadi Road Baramati-413102</v>
      </c>
      <c r="X40" s="321" t="n">
        <f aca="false">IFERROR(__xludf.dummyfunction("""COMPUTED_VALUE"""),9960770920)</f>
        <v>9960770920</v>
      </c>
      <c r="Y40" s="321" t="n">
        <f aca="false">IFERROR(__xludf.dummyfunction("""COMPUTED_VALUE"""),8605531713)</f>
        <v>8605531713</v>
      </c>
      <c r="Z40" s="175"/>
      <c r="AA40" s="175"/>
      <c r="AB40" s="175"/>
      <c r="AC40" s="175"/>
      <c r="AD40" s="175"/>
      <c r="AE40" s="175"/>
      <c r="AF40" s="175"/>
      <c r="AG40" s="175"/>
      <c r="AH40" s="175"/>
      <c r="AI40" s="175"/>
      <c r="AJ40" s="175"/>
    </row>
    <row r="41" customFormat="false" ht="15.75" hidden="false" customHeight="true" outlineLevel="0" collapsed="false">
      <c r="A41" s="80" t="n">
        <v>36</v>
      </c>
      <c r="B41" s="323" t="n">
        <f aca="false">IFERROR(__xludf.dummyfunction("""COMPUTED_VALUE"""),974)</f>
        <v>974</v>
      </c>
      <c r="C41" s="321" t="str">
        <f aca="false">IFERROR(__xludf.dummyfunction("""COMPUTED_VALUE"""),"COMP")</f>
        <v>COMP</v>
      </c>
      <c r="D41" s="321" t="str">
        <f aca="false">IFERROR(__xludf.dummyfunction("""COMPUTED_VALUE"""),"SE")</f>
        <v>SE</v>
      </c>
      <c r="E41" s="321" t="str">
        <f aca="false">IFERROR(__xludf.dummyfunction("""COMPUTED_VALUE"""),"")</f>
        <v/>
      </c>
      <c r="F41" s="321" t="n">
        <f aca="false">IFERROR(__xludf.dummyfunction("""COMPUTED_VALUE"""),1821053)</f>
        <v>1821053</v>
      </c>
      <c r="G41" s="321" t="str">
        <f aca="false">IFERROR(__xludf.dummyfunction("""COMPUTED_VALUE"""),"Mr.")</f>
        <v>Mr.</v>
      </c>
      <c r="H41" s="322" t="str">
        <f aca="false">IFERROR(__xludf.dummyfunction("""COMPUTED_VALUE"""),"Powar Suyash Rajaram")</f>
        <v>Powar Suyash Rajaram</v>
      </c>
      <c r="I41" s="321" t="str">
        <f aca="false">IFERROR(__xludf.dummyfunction("""COMPUTED_VALUE"""),"")</f>
        <v/>
      </c>
      <c r="J41" s="322" t="str">
        <f aca="false">IFERROR(__xludf.dummyfunction("""COMPUTED_VALUE"""),"Powar")</f>
        <v>Powar</v>
      </c>
      <c r="K41" s="322" t="str">
        <f aca="false">IFERROR(__xludf.dummyfunction("""COMPUTED_VALUE"""),"Suyash")</f>
        <v>Suyash</v>
      </c>
      <c r="L41" s="322" t="str">
        <f aca="false">IFERROR(__xludf.dummyfunction("""COMPUTED_VALUE"""),"Rajaram")</f>
        <v>Rajaram</v>
      </c>
      <c r="M41" s="322" t="str">
        <f aca="false">IFERROR(__xludf.dummyfunction("""COMPUTED_VALUE"""),"Powar Suyash Rajaram")</f>
        <v>Powar Suyash Rajaram</v>
      </c>
      <c r="N41" s="322" t="str">
        <f aca="false">IFERROR(__xludf.dummyfunction("""COMPUTED_VALUE"""),"Powar Suyash R.")</f>
        <v>Powar Suyash R.</v>
      </c>
      <c r="O41" s="322" t="str">
        <f aca="false">IFERROR(__xludf.dummyfunction("""COMPUTED_VALUE"""),"Powar S. R.")</f>
        <v>Powar S. R.</v>
      </c>
      <c r="P41" s="321" t="str">
        <f aca="false">IFERROR(__xludf.dummyfunction("""COMPUTED_VALUE"""),"REG")</f>
        <v>REG</v>
      </c>
      <c r="Q41" s="322" t="str">
        <f aca="false">IFERROR(__xludf.dummyfunction("""COMPUTED_VALUE"""),"")</f>
        <v/>
      </c>
      <c r="R41" s="322" t="str">
        <f aca="false">IFERROR(__xludf.dummyfunction("""COMPUTED_VALUE"""),"")</f>
        <v/>
      </c>
      <c r="S41" s="322" t="str">
        <f aca="false">IFERROR(__xludf.dummyfunction("""COMPUTED_VALUE"""),"")</f>
        <v/>
      </c>
      <c r="T41" s="321" t="str">
        <f aca="false">IFERROR(__xludf.dummyfunction("""COMPUTED_VALUE"""),"SC")</f>
        <v>SC</v>
      </c>
      <c r="U41" s="321" t="str">
        <f aca="false">IFERROR(__xludf.dummyfunction("""COMPUTED_VALUE"""),"M")</f>
        <v>M</v>
      </c>
      <c r="V41" s="321" t="n">
        <f aca="false">IFERROR(__xludf.dummyfunction("""COMPUTED_VALUE"""),2017)</f>
        <v>2017</v>
      </c>
      <c r="W41" s="322" t="str">
        <f aca="false">IFERROR(__xludf.dummyfunction("""COMPUTED_VALUE"""),"Srujan Society, R-69/9, Midc, Baramati Dist Pune-413133")</f>
        <v>Srujan Society, R-69/9, Midc, Baramati Dist Pune-413133</v>
      </c>
      <c r="X41" s="321" t="n">
        <f aca="false">IFERROR(__xludf.dummyfunction("""COMPUTED_VALUE"""),9970015641)</f>
        <v>9970015641</v>
      </c>
      <c r="Y41" s="321" t="n">
        <f aca="false">IFERROR(__xludf.dummyfunction("""COMPUTED_VALUE"""),9561830339)</f>
        <v>9561830339</v>
      </c>
      <c r="Z41" s="175"/>
      <c r="AA41" s="175"/>
      <c r="AB41" s="175"/>
      <c r="AC41" s="175"/>
      <c r="AD41" s="175"/>
      <c r="AE41" s="175"/>
      <c r="AF41" s="175"/>
      <c r="AG41" s="175"/>
      <c r="AH41" s="175"/>
      <c r="AI41" s="175"/>
      <c r="AJ41" s="175"/>
    </row>
    <row r="42" customFormat="false" ht="15.75" hidden="false" customHeight="true" outlineLevel="0" collapsed="false">
      <c r="A42" s="80" t="n">
        <v>37</v>
      </c>
      <c r="B42" s="323" t="n">
        <f aca="false">IFERROR(__xludf.dummyfunction("""COMPUTED_VALUE"""),975)</f>
        <v>975</v>
      </c>
      <c r="C42" s="321" t="str">
        <f aca="false">IFERROR(__xludf.dummyfunction("""COMPUTED_VALUE"""),"COMP")</f>
        <v>COMP</v>
      </c>
      <c r="D42" s="321" t="str">
        <f aca="false">IFERROR(__xludf.dummyfunction("""COMPUTED_VALUE"""),"SE")</f>
        <v>SE</v>
      </c>
      <c r="E42" s="321" t="str">
        <f aca="false">IFERROR(__xludf.dummyfunction("""COMPUTED_VALUE"""),"")</f>
        <v/>
      </c>
      <c r="F42" s="321" t="n">
        <f aca="false">IFERROR(__xludf.dummyfunction("""COMPUTED_VALUE"""),1821054)</f>
        <v>1821054</v>
      </c>
      <c r="G42" s="321" t="str">
        <f aca="false">IFERROR(__xludf.dummyfunction("""COMPUTED_VALUE"""),"Mr.")</f>
        <v>Mr.</v>
      </c>
      <c r="H42" s="322" t="str">
        <f aca="false">IFERROR(__xludf.dummyfunction("""COMPUTED_VALUE"""),"Salvi Samuel Anil")</f>
        <v>Salvi Samuel Anil</v>
      </c>
      <c r="I42" s="321" t="str">
        <f aca="false">IFERROR(__xludf.dummyfunction("""COMPUTED_VALUE"""),"")</f>
        <v/>
      </c>
      <c r="J42" s="322" t="str">
        <f aca="false">IFERROR(__xludf.dummyfunction("""COMPUTED_VALUE"""),"Salvi")</f>
        <v>Salvi</v>
      </c>
      <c r="K42" s="322" t="str">
        <f aca="false">IFERROR(__xludf.dummyfunction("""COMPUTED_VALUE"""),"Samuel")</f>
        <v>Samuel</v>
      </c>
      <c r="L42" s="322" t="str">
        <f aca="false">IFERROR(__xludf.dummyfunction("""COMPUTED_VALUE"""),"Anil")</f>
        <v>Anil</v>
      </c>
      <c r="M42" s="322" t="str">
        <f aca="false">IFERROR(__xludf.dummyfunction("""COMPUTED_VALUE"""),"Salvi Samuel Anil")</f>
        <v>Salvi Samuel Anil</v>
      </c>
      <c r="N42" s="322" t="str">
        <f aca="false">IFERROR(__xludf.dummyfunction("""COMPUTED_VALUE"""),"Salvi Samuel A.")</f>
        <v>Salvi Samuel A.</v>
      </c>
      <c r="O42" s="322" t="str">
        <f aca="false">IFERROR(__xludf.dummyfunction("""COMPUTED_VALUE"""),"Salvi S. A.")</f>
        <v>Salvi S. A.</v>
      </c>
      <c r="P42" s="321" t="str">
        <f aca="false">IFERROR(__xludf.dummyfunction("""COMPUTED_VALUE"""),"REG")</f>
        <v>REG</v>
      </c>
      <c r="Q42" s="322" t="str">
        <f aca="false">IFERROR(__xludf.dummyfunction("""COMPUTED_VALUE"""),"")</f>
        <v/>
      </c>
      <c r="R42" s="322" t="str">
        <f aca="false">IFERROR(__xludf.dummyfunction("""COMPUTED_VALUE"""),"")</f>
        <v/>
      </c>
      <c r="S42" s="322" t="str">
        <f aca="false">IFERROR(__xludf.dummyfunction("""COMPUTED_VALUE"""),"")</f>
        <v/>
      </c>
      <c r="T42" s="321" t="str">
        <f aca="false">IFERROR(__xludf.dummyfunction("""COMPUTED_VALUE"""),"OPEN")</f>
        <v>OPEN</v>
      </c>
      <c r="U42" s="321" t="str">
        <f aca="false">IFERROR(__xludf.dummyfunction("""COMPUTED_VALUE"""),"M")</f>
        <v>M</v>
      </c>
      <c r="V42" s="321" t="n">
        <f aca="false">IFERROR(__xludf.dummyfunction("""COMPUTED_VALUE"""),2017)</f>
        <v>2017</v>
      </c>
      <c r="W42" s="322" t="str">
        <f aca="false">IFERROR(__xludf.dummyfunction("""COMPUTED_VALUE"""),"Shangrila Garden, B6, Vivekanandnagar, Baramati Dist.Pune-413102")</f>
        <v>Shangrila Garden, B6, Vivekanandnagar, Baramati Dist.Pune-413102</v>
      </c>
      <c r="X42" s="321" t="n">
        <f aca="false">IFERROR(__xludf.dummyfunction("""COMPUTED_VALUE"""),9764483290)</f>
        <v>9764483290</v>
      </c>
      <c r="Y42" s="321" t="n">
        <f aca="false">IFERROR(__xludf.dummyfunction("""COMPUTED_VALUE"""),9764483290)</f>
        <v>9764483290</v>
      </c>
      <c r="Z42" s="175"/>
      <c r="AA42" s="175"/>
      <c r="AB42" s="175"/>
      <c r="AC42" s="175"/>
      <c r="AD42" s="175"/>
      <c r="AE42" s="175"/>
      <c r="AF42" s="175"/>
      <c r="AG42" s="175"/>
      <c r="AH42" s="175"/>
      <c r="AI42" s="175"/>
      <c r="AJ42" s="175"/>
    </row>
    <row r="43" customFormat="false" ht="15.75" hidden="false" customHeight="true" outlineLevel="0" collapsed="false">
      <c r="A43" s="80" t="n">
        <v>38</v>
      </c>
      <c r="B43" s="323" t="n">
        <f aca="false">IFERROR(__xludf.dummyfunction("""COMPUTED_VALUE"""),976)</f>
        <v>976</v>
      </c>
      <c r="C43" s="321" t="str">
        <f aca="false">IFERROR(__xludf.dummyfunction("""COMPUTED_VALUE"""),"COMP")</f>
        <v>COMP</v>
      </c>
      <c r="D43" s="321" t="str">
        <f aca="false">IFERROR(__xludf.dummyfunction("""COMPUTED_VALUE"""),"SE")</f>
        <v>SE</v>
      </c>
      <c r="E43" s="321" t="str">
        <f aca="false">IFERROR(__xludf.dummyfunction("""COMPUTED_VALUE"""),"")</f>
        <v/>
      </c>
      <c r="F43" s="321" t="n">
        <f aca="false">IFERROR(__xludf.dummyfunction("""COMPUTED_VALUE"""),1821055)</f>
        <v>1821055</v>
      </c>
      <c r="G43" s="321" t="str">
        <f aca="false">IFERROR(__xludf.dummyfunction("""COMPUTED_VALUE"""),"Mr.")</f>
        <v>Mr.</v>
      </c>
      <c r="H43" s="322" t="str">
        <f aca="false">IFERROR(__xludf.dummyfunction("""COMPUTED_VALUE"""),"Shewale Saurabh Shivaji")</f>
        <v>Shewale Saurabh Shivaji</v>
      </c>
      <c r="I43" s="321" t="str">
        <f aca="false">IFERROR(__xludf.dummyfunction("""COMPUTED_VALUE"""),"")</f>
        <v/>
      </c>
      <c r="J43" s="322" t="str">
        <f aca="false">IFERROR(__xludf.dummyfunction("""COMPUTED_VALUE"""),"Shewale")</f>
        <v>Shewale</v>
      </c>
      <c r="K43" s="322" t="str">
        <f aca="false">IFERROR(__xludf.dummyfunction("""COMPUTED_VALUE"""),"Saurabh")</f>
        <v>Saurabh</v>
      </c>
      <c r="L43" s="322" t="str">
        <f aca="false">IFERROR(__xludf.dummyfunction("""COMPUTED_VALUE"""),"Shivaji")</f>
        <v>Shivaji</v>
      </c>
      <c r="M43" s="322" t="str">
        <f aca="false">IFERROR(__xludf.dummyfunction("""COMPUTED_VALUE"""),"Shewale Saurabh Shivaji")</f>
        <v>Shewale Saurabh Shivaji</v>
      </c>
      <c r="N43" s="322" t="str">
        <f aca="false">IFERROR(__xludf.dummyfunction("""COMPUTED_VALUE"""),"Shewale Saurabh S.")</f>
        <v>Shewale Saurabh S.</v>
      </c>
      <c r="O43" s="322" t="str">
        <f aca="false">IFERROR(__xludf.dummyfunction("""COMPUTED_VALUE"""),"Shewale S. S.")</f>
        <v>Shewale S. S.</v>
      </c>
      <c r="P43" s="321" t="str">
        <f aca="false">IFERROR(__xludf.dummyfunction("""COMPUTED_VALUE"""),"REG")</f>
        <v>REG</v>
      </c>
      <c r="Q43" s="322" t="str">
        <f aca="false">IFERROR(__xludf.dummyfunction("""COMPUTED_VALUE"""),"")</f>
        <v/>
      </c>
      <c r="R43" s="322" t="str">
        <f aca="false">IFERROR(__xludf.dummyfunction("""COMPUTED_VALUE"""),"")</f>
        <v/>
      </c>
      <c r="S43" s="322" t="str">
        <f aca="false">IFERROR(__xludf.dummyfunction("""COMPUTED_VALUE"""),"")</f>
        <v/>
      </c>
      <c r="T43" s="321" t="str">
        <f aca="false">IFERROR(__xludf.dummyfunction("""COMPUTED_VALUE"""),"OBC")</f>
        <v>OBC</v>
      </c>
      <c r="U43" s="321" t="str">
        <f aca="false">IFERROR(__xludf.dummyfunction("""COMPUTED_VALUE"""),"M")</f>
        <v>M</v>
      </c>
      <c r="V43" s="321" t="n">
        <f aca="false">IFERROR(__xludf.dummyfunction("""COMPUTED_VALUE"""),2017)</f>
        <v>2017</v>
      </c>
      <c r="W43" s="322" t="str">
        <f aca="false">IFERROR(__xludf.dummyfunction("""COMPUTED_VALUE"""),"Desai Estate, Jalochi, Baramati Dist Pune-413102")</f>
        <v>Desai Estate, Jalochi, Baramati Dist Pune-413102</v>
      </c>
      <c r="X43" s="321" t="n">
        <f aca="false">IFERROR(__xludf.dummyfunction("""COMPUTED_VALUE"""),9089433784)</f>
        <v>9089433784</v>
      </c>
      <c r="Y43" s="321" t="n">
        <f aca="false">IFERROR(__xludf.dummyfunction("""COMPUTED_VALUE"""),7249513194)</f>
        <v>7249513194</v>
      </c>
      <c r="Z43" s="175"/>
      <c r="AA43" s="175"/>
      <c r="AB43" s="175"/>
      <c r="AC43" s="175"/>
      <c r="AD43" s="175"/>
      <c r="AE43" s="175"/>
      <c r="AF43" s="175"/>
      <c r="AG43" s="175"/>
      <c r="AH43" s="175"/>
      <c r="AI43" s="175"/>
      <c r="AJ43" s="175"/>
    </row>
    <row r="44" customFormat="false" ht="15.75" hidden="false" customHeight="true" outlineLevel="0" collapsed="false">
      <c r="A44" s="80" t="n">
        <v>39</v>
      </c>
      <c r="B44" s="323" t="n">
        <f aca="false">IFERROR(__xludf.dummyfunction("""COMPUTED_VALUE"""),977)</f>
        <v>977</v>
      </c>
      <c r="C44" s="321" t="str">
        <f aca="false">IFERROR(__xludf.dummyfunction("""COMPUTED_VALUE"""),"COMP")</f>
        <v>COMP</v>
      </c>
      <c r="D44" s="321" t="str">
        <f aca="false">IFERROR(__xludf.dummyfunction("""COMPUTED_VALUE"""),"SE")</f>
        <v>SE</v>
      </c>
      <c r="E44" s="321" t="str">
        <f aca="false">IFERROR(__xludf.dummyfunction("""COMPUTED_VALUE"""),"")</f>
        <v/>
      </c>
      <c r="F44" s="321" t="n">
        <f aca="false">IFERROR(__xludf.dummyfunction("""COMPUTED_VALUE"""),1821056)</f>
        <v>1821056</v>
      </c>
      <c r="G44" s="321" t="str">
        <f aca="false">IFERROR(__xludf.dummyfunction("""COMPUTED_VALUE"""),"Mr.")</f>
        <v>Mr.</v>
      </c>
      <c r="H44" s="322" t="str">
        <f aca="false">IFERROR(__xludf.dummyfunction("""COMPUTED_VALUE"""),"Shinde Shubhankar Shripad")</f>
        <v>Shinde Shubhankar Shripad</v>
      </c>
      <c r="I44" s="321" t="str">
        <f aca="false">IFERROR(__xludf.dummyfunction("""COMPUTED_VALUE"""),"")</f>
        <v/>
      </c>
      <c r="J44" s="322" t="str">
        <f aca="false">IFERROR(__xludf.dummyfunction("""COMPUTED_VALUE"""),"Shinde")</f>
        <v>Shinde</v>
      </c>
      <c r="K44" s="322" t="str">
        <f aca="false">IFERROR(__xludf.dummyfunction("""COMPUTED_VALUE"""),"Shubhankar")</f>
        <v>Shubhankar</v>
      </c>
      <c r="L44" s="322" t="str">
        <f aca="false">IFERROR(__xludf.dummyfunction("""COMPUTED_VALUE"""),"Shripad")</f>
        <v>Shripad</v>
      </c>
      <c r="M44" s="322" t="str">
        <f aca="false">IFERROR(__xludf.dummyfunction("""COMPUTED_VALUE"""),"Shinde Shubhankar Shripad")</f>
        <v>Shinde Shubhankar Shripad</v>
      </c>
      <c r="N44" s="322" t="str">
        <f aca="false">IFERROR(__xludf.dummyfunction("""COMPUTED_VALUE"""),"Shinde Shubhankar S.")</f>
        <v>Shinde Shubhankar S.</v>
      </c>
      <c r="O44" s="322" t="str">
        <f aca="false">IFERROR(__xludf.dummyfunction("""COMPUTED_VALUE"""),"Shinde S. S.")</f>
        <v>Shinde S. S.</v>
      </c>
      <c r="P44" s="321" t="str">
        <f aca="false">IFERROR(__xludf.dummyfunction("""COMPUTED_VALUE"""),"REG")</f>
        <v>REG</v>
      </c>
      <c r="Q44" s="322" t="str">
        <f aca="false">IFERROR(__xludf.dummyfunction("""COMPUTED_VALUE"""),"")</f>
        <v/>
      </c>
      <c r="R44" s="322" t="str">
        <f aca="false">IFERROR(__xludf.dummyfunction("""COMPUTED_VALUE"""),"")</f>
        <v/>
      </c>
      <c r="S44" s="322" t="str">
        <f aca="false">IFERROR(__xludf.dummyfunction("""COMPUTED_VALUE"""),"")</f>
        <v/>
      </c>
      <c r="T44" s="321" t="str">
        <f aca="false">IFERROR(__xludf.dummyfunction("""COMPUTED_VALUE"""),"SC")</f>
        <v>SC</v>
      </c>
      <c r="U44" s="321" t="str">
        <f aca="false">IFERROR(__xludf.dummyfunction("""COMPUTED_VALUE"""),"M")</f>
        <v>M</v>
      </c>
      <c r="V44" s="321" t="n">
        <f aca="false">IFERROR(__xludf.dummyfunction("""COMPUTED_VALUE"""),2017)</f>
        <v>2017</v>
      </c>
      <c r="W44" s="322" t="str">
        <f aca="false">IFERROR(__xludf.dummyfunction("""COMPUTED_VALUE"""),"Shripushp Building, Anjali Colony, Shahupuri, Satara-415002")</f>
        <v>Shripushp Building, Anjali Colony, Shahupuri, Satara-415002</v>
      </c>
      <c r="X44" s="321" t="n">
        <f aca="false">IFERROR(__xludf.dummyfunction("""COMPUTED_VALUE"""),9890132082)</f>
        <v>9890132082</v>
      </c>
      <c r="Y44" s="321" t="n">
        <f aca="false">IFERROR(__xludf.dummyfunction("""COMPUTED_VALUE"""),9049343465)</f>
        <v>9049343465</v>
      </c>
      <c r="Z44" s="175"/>
      <c r="AA44" s="175"/>
      <c r="AB44" s="175"/>
      <c r="AC44" s="175"/>
      <c r="AD44" s="175"/>
      <c r="AE44" s="175"/>
      <c r="AF44" s="175"/>
      <c r="AG44" s="175"/>
      <c r="AH44" s="175"/>
      <c r="AI44" s="175"/>
      <c r="AJ44" s="175"/>
    </row>
    <row r="45" customFormat="false" ht="15.75" hidden="false" customHeight="true" outlineLevel="0" collapsed="false">
      <c r="A45" s="80" t="n">
        <v>40</v>
      </c>
      <c r="B45" s="323" t="n">
        <f aca="false">IFERROR(__xludf.dummyfunction("""COMPUTED_VALUE"""),978)</f>
        <v>978</v>
      </c>
      <c r="C45" s="321" t="str">
        <f aca="false">IFERROR(__xludf.dummyfunction("""COMPUTED_VALUE"""),"COMP")</f>
        <v>COMP</v>
      </c>
      <c r="D45" s="321" t="str">
        <f aca="false">IFERROR(__xludf.dummyfunction("""COMPUTED_VALUE"""),"SE")</f>
        <v>SE</v>
      </c>
      <c r="E45" s="321" t="str">
        <f aca="false">IFERROR(__xludf.dummyfunction("""COMPUTED_VALUE"""),"")</f>
        <v/>
      </c>
      <c r="F45" s="321" t="n">
        <f aca="false">IFERROR(__xludf.dummyfunction("""COMPUTED_VALUE"""),1821057)</f>
        <v>1821057</v>
      </c>
      <c r="G45" s="321" t="str">
        <f aca="false">IFERROR(__xludf.dummyfunction("""COMPUTED_VALUE"""),"Ms.")</f>
        <v>Ms.</v>
      </c>
      <c r="H45" s="322" t="str">
        <f aca="false">IFERROR(__xludf.dummyfunction("""COMPUTED_VALUE"""),"Shingavi Anjali Anand")</f>
        <v>Shingavi Anjali Anand</v>
      </c>
      <c r="I45" s="321" t="str">
        <f aca="false">IFERROR(__xludf.dummyfunction("""COMPUTED_VALUE"""),"")</f>
        <v/>
      </c>
      <c r="J45" s="322" t="str">
        <f aca="false">IFERROR(__xludf.dummyfunction("""COMPUTED_VALUE"""),"Shingavi")</f>
        <v>Shingavi</v>
      </c>
      <c r="K45" s="322" t="str">
        <f aca="false">IFERROR(__xludf.dummyfunction("""COMPUTED_VALUE"""),"Anjali")</f>
        <v>Anjali</v>
      </c>
      <c r="L45" s="322" t="str">
        <f aca="false">IFERROR(__xludf.dummyfunction("""COMPUTED_VALUE"""),"Anand")</f>
        <v>Anand</v>
      </c>
      <c r="M45" s="322" t="str">
        <f aca="false">IFERROR(__xludf.dummyfunction("""COMPUTED_VALUE"""),"Shingavi Anjali Anand")</f>
        <v>Shingavi Anjali Anand</v>
      </c>
      <c r="N45" s="322" t="str">
        <f aca="false">IFERROR(__xludf.dummyfunction("""COMPUTED_VALUE"""),"Shingavi Anjali A.")</f>
        <v>Shingavi Anjali A.</v>
      </c>
      <c r="O45" s="322" t="str">
        <f aca="false">IFERROR(__xludf.dummyfunction("""COMPUTED_VALUE"""),"Shingavi A. A.")</f>
        <v>Shingavi A. A.</v>
      </c>
      <c r="P45" s="321" t="str">
        <f aca="false">IFERROR(__xludf.dummyfunction("""COMPUTED_VALUE"""),"REG")</f>
        <v>REG</v>
      </c>
      <c r="Q45" s="322" t="str">
        <f aca="false">IFERROR(__xludf.dummyfunction("""COMPUTED_VALUE"""),"")</f>
        <v/>
      </c>
      <c r="R45" s="322" t="str">
        <f aca="false">IFERROR(__xludf.dummyfunction("""COMPUTED_VALUE"""),"")</f>
        <v/>
      </c>
      <c r="S45" s="322" t="str">
        <f aca="false">IFERROR(__xludf.dummyfunction("""COMPUTED_VALUE"""),"")</f>
        <v/>
      </c>
      <c r="T45" s="321" t="str">
        <f aca="false">IFERROR(__xludf.dummyfunction("""COMPUTED_VALUE"""),"OPEN")</f>
        <v>OPEN</v>
      </c>
      <c r="U45" s="321" t="str">
        <f aca="false">IFERROR(__xludf.dummyfunction("""COMPUTED_VALUE"""),"F")</f>
        <v>F</v>
      </c>
      <c r="V45" s="321" t="n">
        <f aca="false">IFERROR(__xludf.dummyfunction("""COMPUTED_VALUE"""),2017)</f>
        <v>2017</v>
      </c>
      <c r="W45" s="322" t="str">
        <f aca="false">IFERROR(__xludf.dummyfunction("""COMPUTED_VALUE"""),"A.P. Kada Tal.Ashti Dist. Beed-414202")</f>
        <v>A.P. Kada Tal.Ashti Dist. Beed-414202</v>
      </c>
      <c r="X45" s="321" t="n">
        <f aca="false">IFERROR(__xludf.dummyfunction("""COMPUTED_VALUE"""),9421921251)</f>
        <v>9421921251</v>
      </c>
      <c r="Y45" s="321" t="n">
        <f aca="false">IFERROR(__xludf.dummyfunction("""COMPUTED_VALUE"""),9156649806)</f>
        <v>9156649806</v>
      </c>
      <c r="Z45" s="175"/>
      <c r="AA45" s="175"/>
      <c r="AB45" s="175"/>
      <c r="AC45" s="175"/>
      <c r="AD45" s="175"/>
      <c r="AE45" s="175"/>
      <c r="AF45" s="175"/>
      <c r="AG45" s="175"/>
      <c r="AH45" s="175"/>
      <c r="AI45" s="175"/>
      <c r="AJ45" s="175"/>
    </row>
    <row r="46" customFormat="false" ht="15.75" hidden="false" customHeight="true" outlineLevel="0" collapsed="false">
      <c r="A46" s="80" t="n">
        <v>41</v>
      </c>
      <c r="B46" s="323" t="n">
        <f aca="false">IFERROR(__xludf.dummyfunction("""COMPUTED_VALUE"""),979)</f>
        <v>979</v>
      </c>
      <c r="C46" s="321" t="str">
        <f aca="false">IFERROR(__xludf.dummyfunction("""COMPUTED_VALUE"""),"COMP")</f>
        <v>COMP</v>
      </c>
      <c r="D46" s="321" t="str">
        <f aca="false">IFERROR(__xludf.dummyfunction("""COMPUTED_VALUE"""),"SE")</f>
        <v>SE</v>
      </c>
      <c r="E46" s="321" t="str">
        <f aca="false">IFERROR(__xludf.dummyfunction("""COMPUTED_VALUE"""),"")</f>
        <v/>
      </c>
      <c r="F46" s="321" t="n">
        <f aca="false">IFERROR(__xludf.dummyfunction("""COMPUTED_VALUE"""),1821058)</f>
        <v>1821058</v>
      </c>
      <c r="G46" s="321" t="str">
        <f aca="false">IFERROR(__xludf.dummyfunction("""COMPUTED_VALUE"""),"Ms.")</f>
        <v>Ms.</v>
      </c>
      <c r="H46" s="322" t="str">
        <f aca="false">IFERROR(__xludf.dummyfunction("""COMPUTED_VALUE"""),"Sonawane Priti Vilas")</f>
        <v>Sonawane Priti Vilas</v>
      </c>
      <c r="I46" s="321" t="str">
        <f aca="false">IFERROR(__xludf.dummyfunction("""COMPUTED_VALUE"""),"")</f>
        <v/>
      </c>
      <c r="J46" s="322" t="str">
        <f aca="false">IFERROR(__xludf.dummyfunction("""COMPUTED_VALUE"""),"Sonawane")</f>
        <v>Sonawane</v>
      </c>
      <c r="K46" s="322" t="str">
        <f aca="false">IFERROR(__xludf.dummyfunction("""COMPUTED_VALUE"""),"Priti")</f>
        <v>Priti</v>
      </c>
      <c r="L46" s="322" t="str">
        <f aca="false">IFERROR(__xludf.dummyfunction("""COMPUTED_VALUE"""),"Vilas")</f>
        <v>Vilas</v>
      </c>
      <c r="M46" s="322" t="str">
        <f aca="false">IFERROR(__xludf.dummyfunction("""COMPUTED_VALUE"""),"Sonawane Priti Vilas")</f>
        <v>Sonawane Priti Vilas</v>
      </c>
      <c r="N46" s="322" t="str">
        <f aca="false">IFERROR(__xludf.dummyfunction("""COMPUTED_VALUE"""),"Sonawane Priti V.")</f>
        <v>Sonawane Priti V.</v>
      </c>
      <c r="O46" s="322" t="str">
        <f aca="false">IFERROR(__xludf.dummyfunction("""COMPUTED_VALUE"""),"Sonawane P. V.")</f>
        <v>Sonawane P. V.</v>
      </c>
      <c r="P46" s="321" t="str">
        <f aca="false">IFERROR(__xludf.dummyfunction("""COMPUTED_VALUE"""),"REG")</f>
        <v>REG</v>
      </c>
      <c r="Q46" s="322" t="str">
        <f aca="false">IFERROR(__xludf.dummyfunction("""COMPUTED_VALUE"""),"")</f>
        <v/>
      </c>
      <c r="R46" s="322" t="str">
        <f aca="false">IFERROR(__xludf.dummyfunction("""COMPUTED_VALUE"""),"")</f>
        <v/>
      </c>
      <c r="S46" s="322" t="str">
        <f aca="false">IFERROR(__xludf.dummyfunction("""COMPUTED_VALUE"""),"")</f>
        <v/>
      </c>
      <c r="T46" s="321" t="str">
        <f aca="false">IFERROR(__xludf.dummyfunction("""COMPUTED_VALUE"""),"SC")</f>
        <v>SC</v>
      </c>
      <c r="U46" s="321" t="str">
        <f aca="false">IFERROR(__xludf.dummyfunction("""COMPUTED_VALUE"""),"F")</f>
        <v>F</v>
      </c>
      <c r="V46" s="321" t="n">
        <f aca="false">IFERROR(__xludf.dummyfunction("""COMPUTED_VALUE"""),2017)</f>
        <v>2017</v>
      </c>
      <c r="W46" s="322" t="str">
        <f aca="false">IFERROR(__xludf.dummyfunction("""COMPUTED_VALUE"""),"Shahunagar, Idapur Road Baramati Dst Pune-413102")</f>
        <v>Shahunagar, Idapur Road Baramati Dst Pune-413102</v>
      </c>
      <c r="X46" s="321" t="n">
        <f aca="false">IFERROR(__xludf.dummyfunction("""COMPUTED_VALUE"""),7709757844)</f>
        <v>7709757844</v>
      </c>
      <c r="Y46" s="321" t="n">
        <f aca="false">IFERROR(__xludf.dummyfunction("""COMPUTED_VALUE"""),9970686884)</f>
        <v>9970686884</v>
      </c>
      <c r="Z46" s="175"/>
      <c r="AA46" s="175"/>
      <c r="AB46" s="175"/>
      <c r="AC46" s="175"/>
      <c r="AD46" s="175"/>
      <c r="AE46" s="175"/>
      <c r="AF46" s="175"/>
      <c r="AG46" s="175"/>
      <c r="AH46" s="175"/>
      <c r="AI46" s="175"/>
      <c r="AJ46" s="175"/>
    </row>
    <row r="47" customFormat="false" ht="15.75" hidden="false" customHeight="true" outlineLevel="0" collapsed="false">
      <c r="A47" s="80" t="n">
        <v>42</v>
      </c>
      <c r="B47" s="323" t="n">
        <f aca="false">IFERROR(__xludf.dummyfunction("""COMPUTED_VALUE"""),980)</f>
        <v>980</v>
      </c>
      <c r="C47" s="321" t="str">
        <f aca="false">IFERROR(__xludf.dummyfunction("""COMPUTED_VALUE"""),"COMP")</f>
        <v>COMP</v>
      </c>
      <c r="D47" s="321" t="str">
        <f aca="false">IFERROR(__xludf.dummyfunction("""COMPUTED_VALUE"""),"SE")</f>
        <v>SE</v>
      </c>
      <c r="E47" s="321" t="str">
        <f aca="false">IFERROR(__xludf.dummyfunction("""COMPUTED_VALUE"""),"")</f>
        <v/>
      </c>
      <c r="F47" s="321" t="n">
        <f aca="false">IFERROR(__xludf.dummyfunction("""COMPUTED_VALUE"""),1821060)</f>
        <v>1821060</v>
      </c>
      <c r="G47" s="321" t="str">
        <f aca="false">IFERROR(__xludf.dummyfunction("""COMPUTED_VALUE"""),"Ms.")</f>
        <v>Ms.</v>
      </c>
      <c r="H47" s="322" t="str">
        <f aca="false">IFERROR(__xludf.dummyfunction("""COMPUTED_VALUE"""),"Suryawanshi Vaishnavi Tanaji")</f>
        <v>Suryawanshi Vaishnavi Tanaji</v>
      </c>
      <c r="I47" s="321" t="str">
        <f aca="false">IFERROR(__xludf.dummyfunction("""COMPUTED_VALUE"""),"")</f>
        <v/>
      </c>
      <c r="J47" s="322" t="str">
        <f aca="false">IFERROR(__xludf.dummyfunction("""COMPUTED_VALUE"""),"Suryawanshi")</f>
        <v>Suryawanshi</v>
      </c>
      <c r="K47" s="322" t="str">
        <f aca="false">IFERROR(__xludf.dummyfunction("""COMPUTED_VALUE"""),"Vaishnavi")</f>
        <v>Vaishnavi</v>
      </c>
      <c r="L47" s="322" t="str">
        <f aca="false">IFERROR(__xludf.dummyfunction("""COMPUTED_VALUE"""),"Tanaji")</f>
        <v>Tanaji</v>
      </c>
      <c r="M47" s="322" t="str">
        <f aca="false">IFERROR(__xludf.dummyfunction("""COMPUTED_VALUE"""),"Suryawanshi Vaishnavi Tanaji")</f>
        <v>Suryawanshi Vaishnavi Tanaji</v>
      </c>
      <c r="N47" s="322" t="str">
        <f aca="false">IFERROR(__xludf.dummyfunction("""COMPUTED_VALUE"""),"Suryawanshi Vaishnavi T.")</f>
        <v>Suryawanshi Vaishnavi T.</v>
      </c>
      <c r="O47" s="322" t="str">
        <f aca="false">IFERROR(__xludf.dummyfunction("""COMPUTED_VALUE"""),"Suryawanshi V. T.")</f>
        <v>Suryawanshi V. T.</v>
      </c>
      <c r="P47" s="321" t="str">
        <f aca="false">IFERROR(__xludf.dummyfunction("""COMPUTED_VALUE"""),"REG")</f>
        <v>REG</v>
      </c>
      <c r="Q47" s="322" t="str">
        <f aca="false">IFERROR(__xludf.dummyfunction("""COMPUTED_VALUE"""),"")</f>
        <v/>
      </c>
      <c r="R47" s="322" t="str">
        <f aca="false">IFERROR(__xludf.dummyfunction("""COMPUTED_VALUE"""),"")</f>
        <v/>
      </c>
      <c r="S47" s="322" t="str">
        <f aca="false">IFERROR(__xludf.dummyfunction("""COMPUTED_VALUE"""),"")</f>
        <v/>
      </c>
      <c r="T47" s="321" t="str">
        <f aca="false">IFERROR(__xludf.dummyfunction("""COMPUTED_VALUE"""),"OPEN")</f>
        <v>OPEN</v>
      </c>
      <c r="U47" s="321" t="str">
        <f aca="false">IFERROR(__xludf.dummyfunction("""COMPUTED_VALUE"""),"F")</f>
        <v>F</v>
      </c>
      <c r="V47" s="321" t="n">
        <f aca="false">IFERROR(__xludf.dummyfunction("""COMPUTED_VALUE"""),2017)</f>
        <v>2017</v>
      </c>
      <c r="W47" s="322" t="str">
        <f aca="false">IFERROR(__xludf.dummyfunction("""COMPUTED_VALUE"""),"Tal-Nilanga Dist-Latur-413521, M-9158259109")</f>
        <v>Tal-Nilanga Dist-Latur-413521, M-9158259109</v>
      </c>
      <c r="X47" s="321" t="n">
        <f aca="false">IFERROR(__xludf.dummyfunction("""COMPUTED_VALUE"""),9158259109)</f>
        <v>9158259109</v>
      </c>
      <c r="Y47" s="321" t="n">
        <f aca="false">IFERROR(__xludf.dummyfunction("""COMPUTED_VALUE"""),7559228924)</f>
        <v>7559228924</v>
      </c>
      <c r="Z47" s="175"/>
      <c r="AA47" s="175"/>
      <c r="AB47" s="175"/>
      <c r="AC47" s="175"/>
      <c r="AD47" s="175"/>
      <c r="AE47" s="175"/>
      <c r="AF47" s="175"/>
      <c r="AG47" s="175"/>
      <c r="AH47" s="175"/>
      <c r="AI47" s="175"/>
      <c r="AJ47" s="175"/>
    </row>
    <row r="48" customFormat="false" ht="15.75" hidden="false" customHeight="true" outlineLevel="0" collapsed="false">
      <c r="A48" s="80" t="n">
        <v>43</v>
      </c>
      <c r="B48" s="323" t="n">
        <f aca="false">IFERROR(__xludf.dummyfunction("""COMPUTED_VALUE"""),981)</f>
        <v>981</v>
      </c>
      <c r="C48" s="321" t="str">
        <f aca="false">IFERROR(__xludf.dummyfunction("""COMPUTED_VALUE"""),"COMP")</f>
        <v>COMP</v>
      </c>
      <c r="D48" s="321" t="str">
        <f aca="false">IFERROR(__xludf.dummyfunction("""COMPUTED_VALUE"""),"SE")</f>
        <v>SE</v>
      </c>
      <c r="E48" s="321" t="str">
        <f aca="false">IFERROR(__xludf.dummyfunction("""COMPUTED_VALUE"""),"")</f>
        <v/>
      </c>
      <c r="F48" s="321" t="n">
        <f aca="false">IFERROR(__xludf.dummyfunction("""COMPUTED_VALUE"""),1821062)</f>
        <v>1821062</v>
      </c>
      <c r="G48" s="321" t="str">
        <f aca="false">IFERROR(__xludf.dummyfunction("""COMPUTED_VALUE"""),"Mr.")</f>
        <v>Mr.</v>
      </c>
      <c r="H48" s="322" t="str">
        <f aca="false">IFERROR(__xludf.dummyfunction("""COMPUTED_VALUE"""),"Taware Chinmay Pradip")</f>
        <v>Taware Chinmay Pradip</v>
      </c>
      <c r="I48" s="321" t="str">
        <f aca="false">IFERROR(__xludf.dummyfunction("""COMPUTED_VALUE"""),"")</f>
        <v/>
      </c>
      <c r="J48" s="322" t="str">
        <f aca="false">IFERROR(__xludf.dummyfunction("""COMPUTED_VALUE"""),"Taware")</f>
        <v>Taware</v>
      </c>
      <c r="K48" s="322" t="str">
        <f aca="false">IFERROR(__xludf.dummyfunction("""COMPUTED_VALUE"""),"Chinmay")</f>
        <v>Chinmay</v>
      </c>
      <c r="L48" s="322" t="str">
        <f aca="false">IFERROR(__xludf.dummyfunction("""COMPUTED_VALUE"""),"Pradip")</f>
        <v>Pradip</v>
      </c>
      <c r="M48" s="322" t="str">
        <f aca="false">IFERROR(__xludf.dummyfunction("""COMPUTED_VALUE"""),"Taware Chinmay Pradip")</f>
        <v>Taware Chinmay Pradip</v>
      </c>
      <c r="N48" s="322" t="str">
        <f aca="false">IFERROR(__xludf.dummyfunction("""COMPUTED_VALUE"""),"Taware Chinmay P.")</f>
        <v>Taware Chinmay P.</v>
      </c>
      <c r="O48" s="322" t="str">
        <f aca="false">IFERROR(__xludf.dummyfunction("""COMPUTED_VALUE"""),"Taware C. P.")</f>
        <v>Taware C. P.</v>
      </c>
      <c r="P48" s="321" t="str">
        <f aca="false">IFERROR(__xludf.dummyfunction("""COMPUTED_VALUE"""),"REG")</f>
        <v>REG</v>
      </c>
      <c r="Q48" s="322" t="str">
        <f aca="false">IFERROR(__xludf.dummyfunction("""COMPUTED_VALUE"""),"")</f>
        <v/>
      </c>
      <c r="R48" s="322" t="str">
        <f aca="false">IFERROR(__xludf.dummyfunction("""COMPUTED_VALUE"""),"")</f>
        <v/>
      </c>
      <c r="S48" s="322" t="str">
        <f aca="false">IFERROR(__xludf.dummyfunction("""COMPUTED_VALUE"""),"")</f>
        <v/>
      </c>
      <c r="T48" s="321" t="str">
        <f aca="false">IFERROR(__xludf.dummyfunction("""COMPUTED_VALUE"""),"OPEN")</f>
        <v>OPEN</v>
      </c>
      <c r="U48" s="321" t="str">
        <f aca="false">IFERROR(__xludf.dummyfunction("""COMPUTED_VALUE"""),"M")</f>
        <v>M</v>
      </c>
      <c r="V48" s="321" t="n">
        <f aca="false">IFERROR(__xludf.dummyfunction("""COMPUTED_VALUE"""),2017)</f>
        <v>2017</v>
      </c>
      <c r="W48" s="322" t="str">
        <f aca="false">IFERROR(__xludf.dummyfunction("""COMPUTED_VALUE"""),"A.P. Sambhajinagar Malegaon Bk, Tal. Baramati Dist Pune-413115")</f>
        <v>A.P. Sambhajinagar Malegaon Bk, Tal. Baramati Dist Pune-413115</v>
      </c>
      <c r="X48" s="321" t="n">
        <f aca="false">IFERROR(__xludf.dummyfunction("""COMPUTED_VALUE"""),9527458474)</f>
        <v>9527458474</v>
      </c>
      <c r="Y48" s="321" t="n">
        <f aca="false">IFERROR(__xludf.dummyfunction("""COMPUTED_VALUE"""),9767737700)</f>
        <v>9767737700</v>
      </c>
      <c r="Z48" s="175"/>
      <c r="AA48" s="175"/>
      <c r="AB48" s="175"/>
      <c r="AC48" s="175"/>
      <c r="AD48" s="175"/>
      <c r="AE48" s="175"/>
      <c r="AF48" s="175"/>
      <c r="AG48" s="175"/>
      <c r="AH48" s="175"/>
      <c r="AI48" s="175"/>
      <c r="AJ48" s="175"/>
    </row>
    <row r="49" customFormat="false" ht="15.75" hidden="false" customHeight="true" outlineLevel="0" collapsed="false">
      <c r="A49" s="80" t="n">
        <v>44</v>
      </c>
      <c r="B49" s="323" t="n">
        <f aca="false">IFERROR(__xludf.dummyfunction("""COMPUTED_VALUE"""),982)</f>
        <v>982</v>
      </c>
      <c r="C49" s="321" t="str">
        <f aca="false">IFERROR(__xludf.dummyfunction("""COMPUTED_VALUE"""),"COMP")</f>
        <v>COMP</v>
      </c>
      <c r="D49" s="321" t="str">
        <f aca="false">IFERROR(__xludf.dummyfunction("""COMPUTED_VALUE"""),"SE")</f>
        <v>SE</v>
      </c>
      <c r="E49" s="321" t="str">
        <f aca="false">IFERROR(__xludf.dummyfunction("""COMPUTED_VALUE"""),"")</f>
        <v/>
      </c>
      <c r="F49" s="321" t="n">
        <f aca="false">IFERROR(__xludf.dummyfunction("""COMPUTED_VALUE"""),1821063)</f>
        <v>1821063</v>
      </c>
      <c r="G49" s="321" t="str">
        <f aca="false">IFERROR(__xludf.dummyfunction("""COMPUTED_VALUE"""),"Ms.")</f>
        <v>Ms.</v>
      </c>
      <c r="H49" s="322" t="str">
        <f aca="false">IFERROR(__xludf.dummyfunction("""COMPUTED_VALUE"""),"Taware Shreya Pravin")</f>
        <v>Taware Shreya Pravin</v>
      </c>
      <c r="I49" s="321" t="str">
        <f aca="false">IFERROR(__xludf.dummyfunction("""COMPUTED_VALUE"""),"")</f>
        <v/>
      </c>
      <c r="J49" s="322" t="str">
        <f aca="false">IFERROR(__xludf.dummyfunction("""COMPUTED_VALUE"""),"Taware")</f>
        <v>Taware</v>
      </c>
      <c r="K49" s="322" t="str">
        <f aca="false">IFERROR(__xludf.dummyfunction("""COMPUTED_VALUE"""),"Shreya")</f>
        <v>Shreya</v>
      </c>
      <c r="L49" s="322" t="str">
        <f aca="false">IFERROR(__xludf.dummyfunction("""COMPUTED_VALUE"""),"Pravin")</f>
        <v>Pravin</v>
      </c>
      <c r="M49" s="322" t="str">
        <f aca="false">IFERROR(__xludf.dummyfunction("""COMPUTED_VALUE"""),"Taware Shreya Pravin")</f>
        <v>Taware Shreya Pravin</v>
      </c>
      <c r="N49" s="322" t="str">
        <f aca="false">IFERROR(__xludf.dummyfunction("""COMPUTED_VALUE"""),"Taware Shreya P.")</f>
        <v>Taware Shreya P.</v>
      </c>
      <c r="O49" s="322" t="str">
        <f aca="false">IFERROR(__xludf.dummyfunction("""COMPUTED_VALUE"""),"Taware S. P.")</f>
        <v>Taware S. P.</v>
      </c>
      <c r="P49" s="321" t="str">
        <f aca="false">IFERROR(__xludf.dummyfunction("""COMPUTED_VALUE"""),"REG")</f>
        <v>REG</v>
      </c>
      <c r="Q49" s="322" t="str">
        <f aca="false">IFERROR(__xludf.dummyfunction("""COMPUTED_VALUE"""),"")</f>
        <v/>
      </c>
      <c r="R49" s="322" t="str">
        <f aca="false">IFERROR(__xludf.dummyfunction("""COMPUTED_VALUE"""),"")</f>
        <v/>
      </c>
      <c r="S49" s="322" t="str">
        <f aca="false">IFERROR(__xludf.dummyfunction("""COMPUTED_VALUE"""),"")</f>
        <v/>
      </c>
      <c r="T49" s="321" t="str">
        <f aca="false">IFERROR(__xludf.dummyfunction("""COMPUTED_VALUE"""),"OPEN")</f>
        <v>OPEN</v>
      </c>
      <c r="U49" s="321" t="str">
        <f aca="false">IFERROR(__xludf.dummyfunction("""COMPUTED_VALUE"""),"F")</f>
        <v>F</v>
      </c>
      <c r="V49" s="321" t="n">
        <f aca="false">IFERROR(__xludf.dummyfunction("""COMPUTED_VALUE"""),2017)</f>
        <v>2017</v>
      </c>
      <c r="W49" s="322" t="str">
        <f aca="false">IFERROR(__xludf.dummyfunction("""COMPUTED_VALUE"""),"Rh. No.08, Green Park Rui, Tal Baramati Dist Pune-413133")</f>
        <v>Rh. No.08, Green Park Rui, Tal Baramati Dist Pune-413133</v>
      </c>
      <c r="X49" s="321" t="n">
        <f aca="false">IFERROR(__xludf.dummyfunction("""COMPUTED_VALUE"""),9766123953)</f>
        <v>9766123953</v>
      </c>
      <c r="Y49" s="321" t="n">
        <f aca="false">IFERROR(__xludf.dummyfunction("""COMPUTED_VALUE"""),7745829429)</f>
        <v>7745829429</v>
      </c>
      <c r="Z49" s="175"/>
      <c r="AA49" s="175"/>
      <c r="AB49" s="175"/>
      <c r="AC49" s="175"/>
      <c r="AD49" s="175"/>
      <c r="AE49" s="175"/>
      <c r="AF49" s="175"/>
      <c r="AG49" s="175"/>
      <c r="AH49" s="175"/>
      <c r="AI49" s="175"/>
      <c r="AJ49" s="175"/>
    </row>
    <row r="50" customFormat="false" ht="15.75" hidden="false" customHeight="true" outlineLevel="0" collapsed="false">
      <c r="A50" s="80" t="n">
        <v>45</v>
      </c>
      <c r="B50" s="323" t="n">
        <f aca="false">IFERROR(__xludf.dummyfunction("""COMPUTED_VALUE"""),983)</f>
        <v>983</v>
      </c>
      <c r="C50" s="321" t="str">
        <f aca="false">IFERROR(__xludf.dummyfunction("""COMPUTED_VALUE"""),"COMP")</f>
        <v>COMP</v>
      </c>
      <c r="D50" s="321" t="str">
        <f aca="false">IFERROR(__xludf.dummyfunction("""COMPUTED_VALUE"""),"SE")</f>
        <v>SE</v>
      </c>
      <c r="E50" s="321" t="str">
        <f aca="false">IFERROR(__xludf.dummyfunction("""COMPUTED_VALUE"""),"")</f>
        <v/>
      </c>
      <c r="F50" s="321" t="n">
        <f aca="false">IFERROR(__xludf.dummyfunction("""COMPUTED_VALUE"""),1821064)</f>
        <v>1821064</v>
      </c>
      <c r="G50" s="321" t="str">
        <f aca="false">IFERROR(__xludf.dummyfunction("""COMPUTED_VALUE"""),"Ms.")</f>
        <v>Ms.</v>
      </c>
      <c r="H50" s="322" t="str">
        <f aca="false">IFERROR(__xludf.dummyfunction("""COMPUTED_VALUE"""),"Tilekar Pooja Santram")</f>
        <v>Tilekar Pooja Santram</v>
      </c>
      <c r="I50" s="321" t="str">
        <f aca="false">IFERROR(__xludf.dummyfunction("""COMPUTED_VALUE"""),"")</f>
        <v/>
      </c>
      <c r="J50" s="322" t="str">
        <f aca="false">IFERROR(__xludf.dummyfunction("""COMPUTED_VALUE"""),"Tilekar")</f>
        <v>Tilekar</v>
      </c>
      <c r="K50" s="322" t="str">
        <f aca="false">IFERROR(__xludf.dummyfunction("""COMPUTED_VALUE"""),"Pooja")</f>
        <v>Pooja</v>
      </c>
      <c r="L50" s="322" t="str">
        <f aca="false">IFERROR(__xludf.dummyfunction("""COMPUTED_VALUE"""),"Santram")</f>
        <v>Santram</v>
      </c>
      <c r="M50" s="322" t="str">
        <f aca="false">IFERROR(__xludf.dummyfunction("""COMPUTED_VALUE"""),"Tilekar Pooja Santram")</f>
        <v>Tilekar Pooja Santram</v>
      </c>
      <c r="N50" s="322" t="str">
        <f aca="false">IFERROR(__xludf.dummyfunction("""COMPUTED_VALUE"""),"Tilekar Pooja S.")</f>
        <v>Tilekar Pooja S.</v>
      </c>
      <c r="O50" s="322" t="str">
        <f aca="false">IFERROR(__xludf.dummyfunction("""COMPUTED_VALUE"""),"Tilekar P. S.")</f>
        <v>Tilekar P. S.</v>
      </c>
      <c r="P50" s="321" t="str">
        <f aca="false">IFERROR(__xludf.dummyfunction("""COMPUTED_VALUE"""),"REG")</f>
        <v>REG</v>
      </c>
      <c r="Q50" s="322" t="str">
        <f aca="false">IFERROR(__xludf.dummyfunction("""COMPUTED_VALUE"""),"")</f>
        <v/>
      </c>
      <c r="R50" s="322" t="str">
        <f aca="false">IFERROR(__xludf.dummyfunction("""COMPUTED_VALUE"""),"")</f>
        <v/>
      </c>
      <c r="S50" s="322" t="str">
        <f aca="false">IFERROR(__xludf.dummyfunction("""COMPUTED_VALUE"""),"")</f>
        <v/>
      </c>
      <c r="T50" s="321" t="str">
        <f aca="false">IFERROR(__xludf.dummyfunction("""COMPUTED_VALUE"""),"OBC")</f>
        <v>OBC</v>
      </c>
      <c r="U50" s="321" t="str">
        <f aca="false">IFERROR(__xludf.dummyfunction("""COMPUTED_VALUE"""),"F")</f>
        <v>F</v>
      </c>
      <c r="V50" s="321" t="n">
        <f aca="false">IFERROR(__xludf.dummyfunction("""COMPUTED_VALUE"""),2017)</f>
        <v>2017</v>
      </c>
      <c r="W50" s="322" t="str">
        <f aca="false">IFERROR(__xludf.dummyfunction("""COMPUTED_VALUE"""),"At Khatakevasti Post Gokhali Tal Phaltan Dist Satara-415523")</f>
        <v>At Khatakevasti Post Gokhali Tal Phaltan Dist Satara-415523</v>
      </c>
      <c r="X50" s="321" t="n">
        <f aca="false">IFERROR(__xludf.dummyfunction("""COMPUTED_VALUE"""),9767560791)</f>
        <v>9767560791</v>
      </c>
      <c r="Y50" s="321" t="n">
        <f aca="false">IFERROR(__xludf.dummyfunction("""COMPUTED_VALUE"""),9767560791)</f>
        <v>9767560791</v>
      </c>
      <c r="Z50" s="175"/>
      <c r="AA50" s="175"/>
      <c r="AB50" s="175"/>
      <c r="AC50" s="175"/>
      <c r="AD50" s="175"/>
      <c r="AE50" s="175"/>
      <c r="AF50" s="175"/>
      <c r="AG50" s="175"/>
      <c r="AH50" s="175"/>
      <c r="AI50" s="175"/>
      <c r="AJ50" s="175"/>
    </row>
    <row r="51" customFormat="false" ht="15.75" hidden="false" customHeight="true" outlineLevel="0" collapsed="false">
      <c r="A51" s="80" t="n">
        <v>46</v>
      </c>
      <c r="B51" s="323" t="n">
        <f aca="false">IFERROR(__xludf.dummyfunction("""COMPUTED_VALUE"""),984)</f>
        <v>984</v>
      </c>
      <c r="C51" s="321" t="str">
        <f aca="false">IFERROR(__xludf.dummyfunction("""COMPUTED_VALUE"""),"COMP")</f>
        <v>COMP</v>
      </c>
      <c r="D51" s="321" t="str">
        <f aca="false">IFERROR(__xludf.dummyfunction("""COMPUTED_VALUE"""),"SE")</f>
        <v>SE</v>
      </c>
      <c r="E51" s="321" t="str">
        <f aca="false">IFERROR(__xludf.dummyfunction("""COMPUTED_VALUE"""),"")</f>
        <v/>
      </c>
      <c r="F51" s="321" t="n">
        <f aca="false">IFERROR(__xludf.dummyfunction("""COMPUTED_VALUE"""),1821065)</f>
        <v>1821065</v>
      </c>
      <c r="G51" s="321" t="str">
        <f aca="false">IFERROR(__xludf.dummyfunction("""COMPUTED_VALUE"""),"Ms.")</f>
        <v>Ms.</v>
      </c>
      <c r="H51" s="322" t="str">
        <f aca="false">IFERROR(__xludf.dummyfunction("""COMPUTED_VALUE"""),"Vaidya Ishwari Sunildatta")</f>
        <v>Vaidya Ishwari Sunildatta</v>
      </c>
      <c r="I51" s="321" t="str">
        <f aca="false">IFERROR(__xludf.dummyfunction("""COMPUTED_VALUE"""),"")</f>
        <v/>
      </c>
      <c r="J51" s="322" t="str">
        <f aca="false">IFERROR(__xludf.dummyfunction("""COMPUTED_VALUE"""),"Vaidya")</f>
        <v>Vaidya</v>
      </c>
      <c r="K51" s="322" t="str">
        <f aca="false">IFERROR(__xludf.dummyfunction("""COMPUTED_VALUE"""),"Ishwari")</f>
        <v>Ishwari</v>
      </c>
      <c r="L51" s="322" t="str">
        <f aca="false">IFERROR(__xludf.dummyfunction("""COMPUTED_VALUE"""),"Sunildatta")</f>
        <v>Sunildatta</v>
      </c>
      <c r="M51" s="322" t="str">
        <f aca="false">IFERROR(__xludf.dummyfunction("""COMPUTED_VALUE"""),"Vaidya Ishwari Sunildatta")</f>
        <v>Vaidya Ishwari Sunildatta</v>
      </c>
      <c r="N51" s="322" t="str">
        <f aca="false">IFERROR(__xludf.dummyfunction("""COMPUTED_VALUE"""),"Vaidya Ishwari S.")</f>
        <v>Vaidya Ishwari S.</v>
      </c>
      <c r="O51" s="322" t="str">
        <f aca="false">IFERROR(__xludf.dummyfunction("""COMPUTED_VALUE"""),"Vaidya I. S.")</f>
        <v>Vaidya I. S.</v>
      </c>
      <c r="P51" s="321" t="str">
        <f aca="false">IFERROR(__xludf.dummyfunction("""COMPUTED_VALUE"""),"REG")</f>
        <v>REG</v>
      </c>
      <c r="Q51" s="322" t="str">
        <f aca="false">IFERROR(__xludf.dummyfunction("""COMPUTED_VALUE"""),"")</f>
        <v/>
      </c>
      <c r="R51" s="322" t="str">
        <f aca="false">IFERROR(__xludf.dummyfunction("""COMPUTED_VALUE"""),"")</f>
        <v/>
      </c>
      <c r="S51" s="322" t="str">
        <f aca="false">IFERROR(__xludf.dummyfunction("""COMPUTED_VALUE"""),"")</f>
        <v/>
      </c>
      <c r="T51" s="321" t="str">
        <f aca="false">IFERROR(__xludf.dummyfunction("""COMPUTED_VALUE"""),"SBC")</f>
        <v>SBC</v>
      </c>
      <c r="U51" s="321" t="str">
        <f aca="false">IFERROR(__xludf.dummyfunction("""COMPUTED_VALUE"""),"F")</f>
        <v>F</v>
      </c>
      <c r="V51" s="321" t="n">
        <f aca="false">IFERROR(__xludf.dummyfunction("""COMPUTED_VALUE"""),2017)</f>
        <v>2017</v>
      </c>
      <c r="W51" s="322" t="str">
        <f aca="false">IFERROR(__xludf.dummyfunction("""COMPUTED_VALUE"""),"Ishwari' Bunglow, Sbi Colony, Sambhaji Nagar, Baramati Dist Pune-413102")</f>
        <v>Ishwari' Bunglow, Sbi Colony, Sambhaji Nagar, Baramati Dist Pune-413102</v>
      </c>
      <c r="X51" s="321" t="n">
        <f aca="false">IFERROR(__xludf.dummyfunction("""COMPUTED_VALUE"""),9665841630)</f>
        <v>9665841630</v>
      </c>
      <c r="Y51" s="321" t="n">
        <f aca="false">IFERROR(__xludf.dummyfunction("""COMPUTED_VALUE"""),9146654610)</f>
        <v>9146654610</v>
      </c>
      <c r="Z51" s="175"/>
      <c r="AA51" s="175"/>
      <c r="AB51" s="175"/>
      <c r="AC51" s="175"/>
      <c r="AD51" s="175"/>
      <c r="AE51" s="175"/>
      <c r="AF51" s="175"/>
      <c r="AG51" s="175"/>
      <c r="AH51" s="175"/>
      <c r="AI51" s="175"/>
      <c r="AJ51" s="175"/>
    </row>
    <row r="52" customFormat="false" ht="15.75" hidden="false" customHeight="true" outlineLevel="0" collapsed="false">
      <c r="A52" s="80" t="n">
        <v>47</v>
      </c>
      <c r="B52" s="323" t="n">
        <f aca="false">IFERROR(__xludf.dummyfunction("""COMPUTED_VALUE"""),985)</f>
        <v>985</v>
      </c>
      <c r="C52" s="321" t="str">
        <f aca="false">IFERROR(__xludf.dummyfunction("""COMPUTED_VALUE"""),"COMP")</f>
        <v>COMP</v>
      </c>
      <c r="D52" s="321" t="str">
        <f aca="false">IFERROR(__xludf.dummyfunction("""COMPUTED_VALUE"""),"SE")</f>
        <v>SE</v>
      </c>
      <c r="E52" s="321" t="str">
        <f aca="false">IFERROR(__xludf.dummyfunction("""COMPUTED_VALUE"""),"")</f>
        <v/>
      </c>
      <c r="F52" s="321" t="n">
        <f aca="false">IFERROR(__xludf.dummyfunction("""COMPUTED_VALUE"""),1821066)</f>
        <v>1821066</v>
      </c>
      <c r="G52" s="321" t="str">
        <f aca="false">IFERROR(__xludf.dummyfunction("""COMPUTED_VALUE"""),"Ms.")</f>
        <v>Ms.</v>
      </c>
      <c r="H52" s="322" t="str">
        <f aca="false">IFERROR(__xludf.dummyfunction("""COMPUTED_VALUE"""),"Wanave Mohini Prakash")</f>
        <v>Wanave Mohini Prakash</v>
      </c>
      <c r="I52" s="321" t="str">
        <f aca="false">IFERROR(__xludf.dummyfunction("""COMPUTED_VALUE"""),"")</f>
        <v/>
      </c>
      <c r="J52" s="322" t="str">
        <f aca="false">IFERROR(__xludf.dummyfunction("""COMPUTED_VALUE"""),"Wanave")</f>
        <v>Wanave</v>
      </c>
      <c r="K52" s="322" t="str">
        <f aca="false">IFERROR(__xludf.dummyfunction("""COMPUTED_VALUE"""),"Mohini")</f>
        <v>Mohini</v>
      </c>
      <c r="L52" s="322" t="str">
        <f aca="false">IFERROR(__xludf.dummyfunction("""COMPUTED_VALUE"""),"Prakash")</f>
        <v>Prakash</v>
      </c>
      <c r="M52" s="322" t="str">
        <f aca="false">IFERROR(__xludf.dummyfunction("""COMPUTED_VALUE"""),"Wanave Mohini Prakash")</f>
        <v>Wanave Mohini Prakash</v>
      </c>
      <c r="N52" s="322" t="str">
        <f aca="false">IFERROR(__xludf.dummyfunction("""COMPUTED_VALUE"""),"Wanave Mohini P.")</f>
        <v>Wanave Mohini P.</v>
      </c>
      <c r="O52" s="322" t="str">
        <f aca="false">IFERROR(__xludf.dummyfunction("""COMPUTED_VALUE"""),"Wanave M. P.")</f>
        <v>Wanave M. P.</v>
      </c>
      <c r="P52" s="321" t="str">
        <f aca="false">IFERROR(__xludf.dummyfunction("""COMPUTED_VALUE"""),"REG")</f>
        <v>REG</v>
      </c>
      <c r="Q52" s="322" t="str">
        <f aca="false">IFERROR(__xludf.dummyfunction("""COMPUTED_VALUE"""),"")</f>
        <v/>
      </c>
      <c r="R52" s="322" t="str">
        <f aca="false">IFERROR(__xludf.dummyfunction("""COMPUTED_VALUE"""),"")</f>
        <v/>
      </c>
      <c r="S52" s="322" t="str">
        <f aca="false">IFERROR(__xludf.dummyfunction("""COMPUTED_VALUE"""),"")</f>
        <v/>
      </c>
      <c r="T52" s="321" t="str">
        <f aca="false">IFERROR(__xludf.dummyfunction("""COMPUTED_VALUE"""),"NT3")</f>
        <v>NT3</v>
      </c>
      <c r="U52" s="321" t="str">
        <f aca="false">IFERROR(__xludf.dummyfunction("""COMPUTED_VALUE"""),"F")</f>
        <v>F</v>
      </c>
      <c r="V52" s="321" t="n">
        <f aca="false">IFERROR(__xludf.dummyfunction("""COMPUTED_VALUE"""),2017)</f>
        <v>2017</v>
      </c>
      <c r="W52" s="322" t="str">
        <f aca="false">IFERROR(__xludf.dummyfunction("""COMPUTED_VALUE"""),"A.P. Lakadi Tal. Indapur Dist.Pune-413130")</f>
        <v>A.P. Lakadi Tal. Indapur Dist.Pune-413130</v>
      </c>
      <c r="X52" s="321" t="n">
        <f aca="false">IFERROR(__xludf.dummyfunction("""COMPUTED_VALUE"""),9422519125)</f>
        <v>9422519125</v>
      </c>
      <c r="Y52" s="321" t="n">
        <f aca="false">IFERROR(__xludf.dummyfunction("""COMPUTED_VALUE"""),7057411843)</f>
        <v>7057411843</v>
      </c>
      <c r="Z52" s="175"/>
      <c r="AA52" s="175"/>
      <c r="AB52" s="175"/>
      <c r="AC52" s="175"/>
      <c r="AD52" s="175"/>
      <c r="AE52" s="175"/>
      <c r="AF52" s="175"/>
      <c r="AG52" s="175"/>
      <c r="AH52" s="175"/>
      <c r="AI52" s="175"/>
      <c r="AJ52" s="175"/>
    </row>
    <row r="53" customFormat="false" ht="15.75" hidden="false" customHeight="true" outlineLevel="0" collapsed="false">
      <c r="A53" s="80" t="n">
        <v>48</v>
      </c>
      <c r="B53" s="323" t="n">
        <f aca="false">IFERROR(__xludf.dummyfunction("""COMPUTED_VALUE"""),986)</f>
        <v>986</v>
      </c>
      <c r="C53" s="321" t="str">
        <f aca="false">IFERROR(__xludf.dummyfunction("""COMPUTED_VALUE"""),"COMP")</f>
        <v>COMP</v>
      </c>
      <c r="D53" s="321" t="str">
        <f aca="false">IFERROR(__xludf.dummyfunction("""COMPUTED_VALUE"""),"SE")</f>
        <v>SE</v>
      </c>
      <c r="E53" s="321" t="str">
        <f aca="false">IFERROR(__xludf.dummyfunction("""COMPUTED_VALUE"""),"")</f>
        <v/>
      </c>
      <c r="F53" s="321" t="n">
        <f aca="false">IFERROR(__xludf.dummyfunction("""COMPUTED_VALUE"""),1821067)</f>
        <v>1821067</v>
      </c>
      <c r="G53" s="321" t="str">
        <f aca="false">IFERROR(__xludf.dummyfunction("""COMPUTED_VALUE"""),"Ms.")</f>
        <v>Ms.</v>
      </c>
      <c r="H53" s="322" t="str">
        <f aca="false">IFERROR(__xludf.dummyfunction("""COMPUTED_VALUE"""),"Zahida Rashid")</f>
        <v>Zahida Rashid</v>
      </c>
      <c r="I53" s="321" t="str">
        <f aca="false">IFERROR(__xludf.dummyfunction("""COMPUTED_VALUE"""),"*")</f>
        <v>*</v>
      </c>
      <c r="J53" s="322" t="str">
        <f aca="false">IFERROR(__xludf.dummyfunction("""COMPUTED_VALUE"""),"Rashid")</f>
        <v>Rashid</v>
      </c>
      <c r="K53" s="322" t="str">
        <f aca="false">IFERROR(__xludf.dummyfunction("""COMPUTED_VALUE"""),"Zahida")</f>
        <v>Zahida</v>
      </c>
      <c r="L53" s="322" t="str">
        <f aca="false">IFERROR(__xludf.dummyfunction("""COMPUTED_VALUE"""),"")</f>
        <v/>
      </c>
      <c r="M53" s="322" t="str">
        <f aca="false">IFERROR(__xludf.dummyfunction("""COMPUTED_VALUE"""),"Rashid Zahida ")</f>
        <v>Rashid Zahida </v>
      </c>
      <c r="N53" s="322" t="str">
        <f aca="false">IFERROR(__xludf.dummyfunction("""COMPUTED_VALUE"""),"Rashid Zahida .")</f>
        <v>Rashid Zahida .</v>
      </c>
      <c r="O53" s="322" t="str">
        <f aca="false">IFERROR(__xludf.dummyfunction("""COMPUTED_VALUE"""),"Rashid Z. .")</f>
        <v>Rashid Z. .</v>
      </c>
      <c r="P53" s="321" t="str">
        <f aca="false">IFERROR(__xludf.dummyfunction("""COMPUTED_VALUE"""),"REG")</f>
        <v>REG</v>
      </c>
      <c r="Q53" s="322" t="str">
        <f aca="false">IFERROR(__xludf.dummyfunction("""COMPUTED_VALUE"""),"")</f>
        <v/>
      </c>
      <c r="R53" s="322" t="str">
        <f aca="false">IFERROR(__xludf.dummyfunction("""COMPUTED_VALUE"""),"")</f>
        <v/>
      </c>
      <c r="S53" s="322" t="str">
        <f aca="false">IFERROR(__xludf.dummyfunction("""COMPUTED_VALUE"""),"")</f>
        <v/>
      </c>
      <c r="T53" s="321" t="str">
        <f aca="false">IFERROR(__xludf.dummyfunction("""COMPUTED_VALUE"""),"OPEN")</f>
        <v>OPEN</v>
      </c>
      <c r="U53" s="321" t="str">
        <f aca="false">IFERROR(__xludf.dummyfunction("""COMPUTED_VALUE"""),"F")</f>
        <v>F</v>
      </c>
      <c r="V53" s="321" t="n">
        <f aca="false">IFERROR(__xludf.dummyfunction("""COMPUTED_VALUE"""),2017)</f>
        <v>2017</v>
      </c>
      <c r="W53" s="322" t="str">
        <f aca="false">IFERROR(__xludf.dummyfunction("""COMPUTED_VALUE"""),"Goripora - Noorbagh - Srinagar, Kashmir, Pin. 190017, 9469883926")</f>
        <v>Goripora - Noorbagh - Srinagar, Kashmir, Pin. 190017, 9469883926</v>
      </c>
      <c r="X53" s="321" t="n">
        <f aca="false">IFERROR(__xludf.dummyfunction("""COMPUTED_VALUE"""),9469883926)</f>
        <v>9469883926</v>
      </c>
      <c r="Y53" s="321" t="n">
        <f aca="false">IFERROR(__xludf.dummyfunction("""COMPUTED_VALUE"""),9284184237)</f>
        <v>9284184237</v>
      </c>
      <c r="Z53" s="175"/>
      <c r="AA53" s="175"/>
      <c r="AB53" s="175"/>
      <c r="AC53" s="175"/>
      <c r="AD53" s="175"/>
      <c r="AE53" s="175"/>
      <c r="AF53" s="175"/>
      <c r="AG53" s="175"/>
      <c r="AH53" s="175"/>
      <c r="AI53" s="175"/>
      <c r="AJ53" s="175"/>
    </row>
    <row r="54" customFormat="false" ht="15.75" hidden="false" customHeight="true" outlineLevel="0" collapsed="false">
      <c r="A54" s="80" t="n">
        <v>49</v>
      </c>
      <c r="B54" s="323" t="n">
        <f aca="false">IFERROR(__xludf.dummyfunction("""COMPUTED_VALUE"""),987)</f>
        <v>987</v>
      </c>
      <c r="C54" s="321" t="str">
        <f aca="false">IFERROR(__xludf.dummyfunction("""COMPUTED_VALUE"""),"COMP")</f>
        <v>COMP</v>
      </c>
      <c r="D54" s="321" t="str">
        <f aca="false">IFERROR(__xludf.dummyfunction("""COMPUTED_VALUE"""),"SE")</f>
        <v>SE</v>
      </c>
      <c r="E54" s="321" t="str">
        <f aca="false">IFERROR(__xludf.dummyfunction("""COMPUTED_VALUE"""),"")</f>
        <v/>
      </c>
      <c r="F54" s="321" t="n">
        <f aca="false">IFERROR(__xludf.dummyfunction("""COMPUTED_VALUE"""),1821068)</f>
        <v>1821068</v>
      </c>
      <c r="G54" s="321" t="str">
        <f aca="false">IFERROR(__xludf.dummyfunction("""COMPUTED_VALUE"""),"Mr.")</f>
        <v>Mr.</v>
      </c>
      <c r="H54" s="322" t="str">
        <f aca="false">IFERROR(__xludf.dummyfunction("""COMPUTED_VALUE"""),"Zope Siddhesh Narendra")</f>
        <v>Zope Siddhesh Narendra</v>
      </c>
      <c r="I54" s="321" t="str">
        <f aca="false">IFERROR(__xludf.dummyfunction("""COMPUTED_VALUE"""),"")</f>
        <v/>
      </c>
      <c r="J54" s="322" t="str">
        <f aca="false">IFERROR(__xludf.dummyfunction("""COMPUTED_VALUE"""),"Zope")</f>
        <v>Zope</v>
      </c>
      <c r="K54" s="322" t="str">
        <f aca="false">IFERROR(__xludf.dummyfunction("""COMPUTED_VALUE"""),"Siddhesh")</f>
        <v>Siddhesh</v>
      </c>
      <c r="L54" s="322" t="str">
        <f aca="false">IFERROR(__xludf.dummyfunction("""COMPUTED_VALUE"""),"Narendra")</f>
        <v>Narendra</v>
      </c>
      <c r="M54" s="322" t="str">
        <f aca="false">IFERROR(__xludf.dummyfunction("""COMPUTED_VALUE"""),"Zope Siddhesh Narendra")</f>
        <v>Zope Siddhesh Narendra</v>
      </c>
      <c r="N54" s="322" t="str">
        <f aca="false">IFERROR(__xludf.dummyfunction("""COMPUTED_VALUE"""),"Zope Siddhesh N.")</f>
        <v>Zope Siddhesh N.</v>
      </c>
      <c r="O54" s="322" t="str">
        <f aca="false">IFERROR(__xludf.dummyfunction("""COMPUTED_VALUE"""),"Zope S. N.")</f>
        <v>Zope S. N.</v>
      </c>
      <c r="P54" s="321" t="str">
        <f aca="false">IFERROR(__xludf.dummyfunction("""COMPUTED_VALUE"""),"REG")</f>
        <v>REG</v>
      </c>
      <c r="Q54" s="322" t="str">
        <f aca="false">IFERROR(__xludf.dummyfunction("""COMPUTED_VALUE"""),"")</f>
        <v/>
      </c>
      <c r="R54" s="322" t="str">
        <f aca="false">IFERROR(__xludf.dummyfunction("""COMPUTED_VALUE"""),"")</f>
        <v/>
      </c>
      <c r="S54" s="322" t="str">
        <f aca="false">IFERROR(__xludf.dummyfunction("""COMPUTED_VALUE"""),"")</f>
        <v/>
      </c>
      <c r="T54" s="321" t="str">
        <f aca="false">IFERROR(__xludf.dummyfunction("""COMPUTED_VALUE"""),"OBC")</f>
        <v>OBC</v>
      </c>
      <c r="U54" s="321" t="str">
        <f aca="false">IFERROR(__xludf.dummyfunction("""COMPUTED_VALUE"""),"M")</f>
        <v>M</v>
      </c>
      <c r="V54" s="321" t="n">
        <f aca="false">IFERROR(__xludf.dummyfunction("""COMPUTED_VALUE"""),2017)</f>
        <v>2017</v>
      </c>
      <c r="W54" s="322" t="str">
        <f aca="false">IFERROR(__xludf.dummyfunction("""COMPUTED_VALUE"""),"Gurupushpa Aprtments, Suryanagari A.P. Baramati Dist Pune-413133")</f>
        <v>Gurupushpa Aprtments, Suryanagari A.P. Baramati Dist Pune-413133</v>
      </c>
      <c r="X54" s="321" t="n">
        <f aca="false">IFERROR(__xludf.dummyfunction("""COMPUTED_VALUE"""),9763369894)</f>
        <v>9763369894</v>
      </c>
      <c r="Y54" s="321" t="n">
        <f aca="false">IFERROR(__xludf.dummyfunction("""COMPUTED_VALUE"""),9689045268)</f>
        <v>9689045268</v>
      </c>
      <c r="Z54" s="175"/>
      <c r="AA54" s="175"/>
      <c r="AB54" s="175"/>
      <c r="AC54" s="175"/>
      <c r="AD54" s="175"/>
      <c r="AE54" s="175"/>
      <c r="AF54" s="175"/>
      <c r="AG54" s="175"/>
      <c r="AH54" s="175"/>
      <c r="AI54" s="175"/>
      <c r="AJ54" s="175"/>
    </row>
    <row r="55" customFormat="false" ht="15.75" hidden="false" customHeight="true" outlineLevel="0" collapsed="false">
      <c r="A55" s="80" t="n">
        <v>50</v>
      </c>
      <c r="B55" s="323" t="n">
        <f aca="false">IFERROR(__xludf.dummyfunction("""COMPUTED_VALUE"""),988)</f>
        <v>988</v>
      </c>
      <c r="C55" s="321" t="str">
        <f aca="false">IFERROR(__xludf.dummyfunction("""COMPUTED_VALUE"""),"COMP")</f>
        <v>COMP</v>
      </c>
      <c r="D55" s="321" t="str">
        <f aca="false">IFERROR(__xludf.dummyfunction("""COMPUTED_VALUE"""),"SE")</f>
        <v>SE</v>
      </c>
      <c r="E55" s="321" t="str">
        <f aca="false">IFERROR(__xludf.dummyfunction("""COMPUTED_VALUE"""),"")</f>
        <v/>
      </c>
      <c r="F55" s="321" t="n">
        <f aca="false">IFERROR(__xludf.dummyfunction("""COMPUTED_VALUE"""),1821069)</f>
        <v>1821069</v>
      </c>
      <c r="G55" s="321" t="str">
        <f aca="false">IFERROR(__xludf.dummyfunction("""COMPUTED_VALUE"""),"Mr.")</f>
        <v>Mr.</v>
      </c>
      <c r="H55" s="322" t="str">
        <f aca="false">IFERROR(__xludf.dummyfunction("""COMPUTED_VALUE"""),"Bankar Vishal Harichandra")</f>
        <v>Bankar Vishal Harichandra</v>
      </c>
      <c r="I55" s="321" t="str">
        <f aca="false">IFERROR(__xludf.dummyfunction("""COMPUTED_VALUE"""),"")</f>
        <v/>
      </c>
      <c r="J55" s="322" t="str">
        <f aca="false">IFERROR(__xludf.dummyfunction("""COMPUTED_VALUE"""),"Bankar")</f>
        <v>Bankar</v>
      </c>
      <c r="K55" s="322" t="str">
        <f aca="false">IFERROR(__xludf.dummyfunction("""COMPUTED_VALUE"""),"Vishal")</f>
        <v>Vishal</v>
      </c>
      <c r="L55" s="322" t="str">
        <f aca="false">IFERROR(__xludf.dummyfunction("""COMPUTED_VALUE"""),"Harichandra")</f>
        <v>Harichandra</v>
      </c>
      <c r="M55" s="322" t="str">
        <f aca="false">IFERROR(__xludf.dummyfunction("""COMPUTED_VALUE"""),"Bankar Vishal Harichandra")</f>
        <v>Bankar Vishal Harichandra</v>
      </c>
      <c r="N55" s="322" t="str">
        <f aca="false">IFERROR(__xludf.dummyfunction("""COMPUTED_VALUE"""),"Bankar Vishal H.")</f>
        <v>Bankar Vishal H.</v>
      </c>
      <c r="O55" s="322" t="str">
        <f aca="false">IFERROR(__xludf.dummyfunction("""COMPUTED_VALUE"""),"Bankar V. H.")</f>
        <v>Bankar V. H.</v>
      </c>
      <c r="P55" s="321" t="str">
        <f aca="false">IFERROR(__xludf.dummyfunction("""COMPUTED_VALUE"""),"REG")</f>
        <v>REG</v>
      </c>
      <c r="Q55" s="322" t="str">
        <f aca="false">IFERROR(__xludf.dummyfunction("""COMPUTED_VALUE"""),"")</f>
        <v/>
      </c>
      <c r="R55" s="322" t="str">
        <f aca="false">IFERROR(__xludf.dummyfunction("""COMPUTED_VALUE"""),"")</f>
        <v/>
      </c>
      <c r="S55" s="322" t="str">
        <f aca="false">IFERROR(__xludf.dummyfunction("""COMPUTED_VALUE"""),"")</f>
        <v/>
      </c>
      <c r="T55" s="321" t="str">
        <f aca="false">IFERROR(__xludf.dummyfunction("""COMPUTED_VALUE"""),"OBC")</f>
        <v>OBC</v>
      </c>
      <c r="U55" s="321" t="str">
        <f aca="false">IFERROR(__xludf.dummyfunction("""COMPUTED_VALUE"""),"M")</f>
        <v>M</v>
      </c>
      <c r="V55" s="321" t="n">
        <f aca="false">IFERROR(__xludf.dummyfunction("""COMPUTED_VALUE"""),2017)</f>
        <v>2017</v>
      </c>
      <c r="W55" s="322" t="str">
        <f aca="false">IFERROR(__xludf.dummyfunction("""COMPUTED_VALUE"""),"A.P. Undwadi Kade Pathar, Near Lake Bhopal Bet Vasti, Baramati-413102")</f>
        <v>A.P. Undwadi Kade Pathar, Near Lake Bhopal Bet Vasti, Baramati-413102</v>
      </c>
      <c r="X55" s="321" t="n">
        <f aca="false">IFERROR(__xludf.dummyfunction("""COMPUTED_VALUE"""),9403357708)</f>
        <v>9403357708</v>
      </c>
      <c r="Y55" s="321" t="n">
        <f aca="false">IFERROR(__xludf.dummyfunction("""COMPUTED_VALUE"""),7066387529)</f>
        <v>7066387529</v>
      </c>
      <c r="Z55" s="175"/>
      <c r="AA55" s="175"/>
      <c r="AB55" s="175"/>
      <c r="AC55" s="175"/>
      <c r="AD55" s="175"/>
      <c r="AE55" s="175"/>
      <c r="AF55" s="175"/>
      <c r="AG55" s="175"/>
      <c r="AH55" s="175"/>
      <c r="AI55" s="175"/>
      <c r="AJ55" s="175"/>
    </row>
    <row r="56" customFormat="false" ht="15.75" hidden="false" customHeight="true" outlineLevel="0" collapsed="false">
      <c r="A56" s="80" t="n">
        <v>51</v>
      </c>
      <c r="B56" s="323" t="n">
        <f aca="false">IFERROR(__xludf.dummyfunction("""COMPUTED_VALUE"""),989)</f>
        <v>989</v>
      </c>
      <c r="C56" s="321" t="str">
        <f aca="false">IFERROR(__xludf.dummyfunction("""COMPUTED_VALUE"""),"COMP")</f>
        <v>COMP</v>
      </c>
      <c r="D56" s="321" t="str">
        <f aca="false">IFERROR(__xludf.dummyfunction("""COMPUTED_VALUE"""),"SE")</f>
        <v>SE</v>
      </c>
      <c r="E56" s="321" t="str">
        <f aca="false">IFERROR(__xludf.dummyfunction("""COMPUTED_VALUE"""),"")</f>
        <v/>
      </c>
      <c r="F56" s="321" t="n">
        <f aca="false">IFERROR(__xludf.dummyfunction("""COMPUTED_VALUE"""),1821070)</f>
        <v>1821070</v>
      </c>
      <c r="G56" s="321" t="str">
        <f aca="false">IFERROR(__xludf.dummyfunction("""COMPUTED_VALUE"""),"Ms.")</f>
        <v>Ms.</v>
      </c>
      <c r="H56" s="322" t="str">
        <f aca="false">IFERROR(__xludf.dummyfunction("""COMPUTED_VALUE"""),"Chaudhari Akshata Vallabh")</f>
        <v>Chaudhari Akshata Vallabh</v>
      </c>
      <c r="I56" s="321" t="str">
        <f aca="false">IFERROR(__xludf.dummyfunction("""COMPUTED_VALUE"""),"")</f>
        <v/>
      </c>
      <c r="J56" s="322" t="str">
        <f aca="false">IFERROR(__xludf.dummyfunction("""COMPUTED_VALUE"""),"Chaudhari")</f>
        <v>Chaudhari</v>
      </c>
      <c r="K56" s="322" t="str">
        <f aca="false">IFERROR(__xludf.dummyfunction("""COMPUTED_VALUE"""),"Akshata")</f>
        <v>Akshata</v>
      </c>
      <c r="L56" s="322" t="str">
        <f aca="false">IFERROR(__xludf.dummyfunction("""COMPUTED_VALUE"""),"Vallabh")</f>
        <v>Vallabh</v>
      </c>
      <c r="M56" s="322" t="str">
        <f aca="false">IFERROR(__xludf.dummyfunction("""COMPUTED_VALUE"""),"Chaudhari Akshata Vallabh")</f>
        <v>Chaudhari Akshata Vallabh</v>
      </c>
      <c r="N56" s="322" t="str">
        <f aca="false">IFERROR(__xludf.dummyfunction("""COMPUTED_VALUE"""),"Chaudhari Akshata V.")</f>
        <v>Chaudhari Akshata V.</v>
      </c>
      <c r="O56" s="322" t="str">
        <f aca="false">IFERROR(__xludf.dummyfunction("""COMPUTED_VALUE"""),"Chaudhari A. V.")</f>
        <v>Chaudhari A. V.</v>
      </c>
      <c r="P56" s="321" t="str">
        <f aca="false">IFERROR(__xludf.dummyfunction("""COMPUTED_VALUE"""),"REG")</f>
        <v>REG</v>
      </c>
      <c r="Q56" s="322" t="str">
        <f aca="false">IFERROR(__xludf.dummyfunction("""COMPUTED_VALUE"""),"")</f>
        <v/>
      </c>
      <c r="R56" s="322" t="str">
        <f aca="false">IFERROR(__xludf.dummyfunction("""COMPUTED_VALUE"""),"")</f>
        <v/>
      </c>
      <c r="S56" s="322" t="str">
        <f aca="false">IFERROR(__xludf.dummyfunction("""COMPUTED_VALUE"""),"")</f>
        <v/>
      </c>
      <c r="T56" s="321" t="str">
        <f aca="false">IFERROR(__xludf.dummyfunction("""COMPUTED_VALUE"""),"OPEN")</f>
        <v>OPEN</v>
      </c>
      <c r="U56" s="321" t="str">
        <f aca="false">IFERROR(__xludf.dummyfunction("""COMPUTED_VALUE"""),"F")</f>
        <v>F</v>
      </c>
      <c r="V56" s="321" t="n">
        <f aca="false">IFERROR(__xludf.dummyfunction("""COMPUTED_VALUE"""),2017)</f>
        <v>2017</v>
      </c>
      <c r="W56" s="322" t="str">
        <f aca="false">IFERROR(__xludf.dummyfunction("""COMPUTED_VALUE"""),"Prabhavati Nivas Harikripanagar, Indapur Road, Baramati-413102, M-9850957169")</f>
        <v>Prabhavati Nivas Harikripanagar, Indapur Road, Baramati-413102, M-9850957169</v>
      </c>
      <c r="X56" s="321" t="n">
        <f aca="false">IFERROR(__xludf.dummyfunction("""COMPUTED_VALUE"""),9850957169)</f>
        <v>9850957169</v>
      </c>
      <c r="Y56" s="321" t="n">
        <f aca="false">IFERROR(__xludf.dummyfunction("""COMPUTED_VALUE"""),8805539677)</f>
        <v>8805539677</v>
      </c>
      <c r="Z56" s="175"/>
      <c r="AA56" s="175"/>
      <c r="AB56" s="175"/>
      <c r="AC56" s="175"/>
      <c r="AD56" s="175"/>
      <c r="AE56" s="175"/>
      <c r="AF56" s="175"/>
      <c r="AG56" s="175"/>
      <c r="AH56" s="175"/>
      <c r="AI56" s="175"/>
      <c r="AJ56" s="175"/>
    </row>
    <row r="57" customFormat="false" ht="15.75" hidden="false" customHeight="true" outlineLevel="0" collapsed="false">
      <c r="A57" s="80" t="n">
        <v>52</v>
      </c>
      <c r="B57" s="323" t="n">
        <f aca="false">IFERROR(__xludf.dummyfunction("""COMPUTED_VALUE"""),990)</f>
        <v>990</v>
      </c>
      <c r="C57" s="321" t="str">
        <f aca="false">IFERROR(__xludf.dummyfunction("""COMPUTED_VALUE"""),"COMP")</f>
        <v>COMP</v>
      </c>
      <c r="D57" s="321" t="str">
        <f aca="false">IFERROR(__xludf.dummyfunction("""COMPUTED_VALUE"""),"SE")</f>
        <v>SE</v>
      </c>
      <c r="E57" s="321" t="str">
        <f aca="false">IFERROR(__xludf.dummyfunction("""COMPUTED_VALUE"""),"")</f>
        <v/>
      </c>
      <c r="F57" s="321" t="n">
        <f aca="false">IFERROR(__xludf.dummyfunction("""COMPUTED_VALUE"""),1821071)</f>
        <v>1821071</v>
      </c>
      <c r="G57" s="321" t="str">
        <f aca="false">IFERROR(__xludf.dummyfunction("""COMPUTED_VALUE"""),"Ms.")</f>
        <v>Ms.</v>
      </c>
      <c r="H57" s="322" t="str">
        <f aca="false">IFERROR(__xludf.dummyfunction("""COMPUTED_VALUE"""),"Patale Sanika Sunil")</f>
        <v>Patale Sanika Sunil</v>
      </c>
      <c r="I57" s="321" t="str">
        <f aca="false">IFERROR(__xludf.dummyfunction("""COMPUTED_VALUE"""),"")</f>
        <v/>
      </c>
      <c r="J57" s="322" t="str">
        <f aca="false">IFERROR(__xludf.dummyfunction("""COMPUTED_VALUE"""),"Patale")</f>
        <v>Patale</v>
      </c>
      <c r="K57" s="322" t="str">
        <f aca="false">IFERROR(__xludf.dummyfunction("""COMPUTED_VALUE"""),"Sanika")</f>
        <v>Sanika</v>
      </c>
      <c r="L57" s="322" t="str">
        <f aca="false">IFERROR(__xludf.dummyfunction("""COMPUTED_VALUE"""),"Sunil")</f>
        <v>Sunil</v>
      </c>
      <c r="M57" s="322" t="str">
        <f aca="false">IFERROR(__xludf.dummyfunction("""COMPUTED_VALUE"""),"Patale Sanika Sunil")</f>
        <v>Patale Sanika Sunil</v>
      </c>
      <c r="N57" s="322" t="str">
        <f aca="false">IFERROR(__xludf.dummyfunction("""COMPUTED_VALUE"""),"Patale Sanika S.")</f>
        <v>Patale Sanika S.</v>
      </c>
      <c r="O57" s="322" t="str">
        <f aca="false">IFERROR(__xludf.dummyfunction("""COMPUTED_VALUE"""),"Patale S. S.")</f>
        <v>Patale S. S.</v>
      </c>
      <c r="P57" s="321" t="str">
        <f aca="false">IFERROR(__xludf.dummyfunction("""COMPUTED_VALUE"""),"REG")</f>
        <v>REG</v>
      </c>
      <c r="Q57" s="322" t="str">
        <f aca="false">IFERROR(__xludf.dummyfunction("""COMPUTED_VALUE"""),"")</f>
        <v/>
      </c>
      <c r="R57" s="322" t="str">
        <f aca="false">IFERROR(__xludf.dummyfunction("""COMPUTED_VALUE"""),"")</f>
        <v/>
      </c>
      <c r="S57" s="322" t="str">
        <f aca="false">IFERROR(__xludf.dummyfunction("""COMPUTED_VALUE"""),"")</f>
        <v/>
      </c>
      <c r="T57" s="321" t="str">
        <f aca="false">IFERROR(__xludf.dummyfunction("""COMPUTED_VALUE"""),"OPEN")</f>
        <v>OPEN</v>
      </c>
      <c r="U57" s="321" t="str">
        <f aca="false">IFERROR(__xludf.dummyfunction("""COMPUTED_VALUE"""),"F")</f>
        <v>F</v>
      </c>
      <c r="V57" s="321" t="n">
        <f aca="false">IFERROR(__xludf.dummyfunction("""COMPUTED_VALUE"""),2017)</f>
        <v>2017</v>
      </c>
      <c r="W57" s="322" t="str">
        <f aca="false">IFERROR(__xludf.dummyfunction("""COMPUTED_VALUE"""),"Patale Wasti Khandali, Khandali-413113, M-7875249345")</f>
        <v>Patale Wasti Khandali, Khandali-413113, M-7875249345</v>
      </c>
      <c r="X57" s="321" t="n">
        <f aca="false">IFERROR(__xludf.dummyfunction("""COMPUTED_VALUE"""),7875249345)</f>
        <v>7875249345</v>
      </c>
      <c r="Y57" s="321" t="n">
        <f aca="false">IFERROR(__xludf.dummyfunction("""COMPUTED_VALUE"""),7447812963)</f>
        <v>7447812963</v>
      </c>
      <c r="Z57" s="175"/>
      <c r="AA57" s="175"/>
      <c r="AB57" s="175"/>
      <c r="AC57" s="175"/>
      <c r="AD57" s="175"/>
      <c r="AE57" s="175"/>
      <c r="AF57" s="175"/>
      <c r="AG57" s="175"/>
      <c r="AH57" s="175"/>
      <c r="AI57" s="175"/>
      <c r="AJ57" s="175"/>
    </row>
    <row r="58" customFormat="false" ht="15.75" hidden="false" customHeight="true" outlineLevel="0" collapsed="false">
      <c r="A58" s="80" t="n">
        <v>53</v>
      </c>
      <c r="B58" s="323" t="n">
        <f aca="false">IFERROR(__xludf.dummyfunction("""COMPUTED_VALUE"""),991)</f>
        <v>991</v>
      </c>
      <c r="C58" s="321" t="str">
        <f aca="false">IFERROR(__xludf.dummyfunction("""COMPUTED_VALUE"""),"COMP")</f>
        <v>COMP</v>
      </c>
      <c r="D58" s="321" t="str">
        <f aca="false">IFERROR(__xludf.dummyfunction("""COMPUTED_VALUE"""),"SE")</f>
        <v>SE</v>
      </c>
      <c r="E58" s="321" t="str">
        <f aca="false">IFERROR(__xludf.dummyfunction("""COMPUTED_VALUE"""),"")</f>
        <v/>
      </c>
      <c r="F58" s="321" t="n">
        <f aca="false">IFERROR(__xludf.dummyfunction("""COMPUTED_VALUE"""),1821072)</f>
        <v>1821072</v>
      </c>
      <c r="G58" s="321" t="str">
        <f aca="false">IFERROR(__xludf.dummyfunction("""COMPUTED_VALUE"""),"Mr.")</f>
        <v>Mr.</v>
      </c>
      <c r="H58" s="322" t="str">
        <f aca="false">IFERROR(__xludf.dummyfunction("""COMPUTED_VALUE"""),"Patil Mahesh Hanumant")</f>
        <v>Patil Mahesh Hanumant</v>
      </c>
      <c r="I58" s="321" t="str">
        <f aca="false">IFERROR(__xludf.dummyfunction("""COMPUTED_VALUE"""),"")</f>
        <v/>
      </c>
      <c r="J58" s="322" t="str">
        <f aca="false">IFERROR(__xludf.dummyfunction("""COMPUTED_VALUE"""),"Patil")</f>
        <v>Patil</v>
      </c>
      <c r="K58" s="322" t="str">
        <f aca="false">IFERROR(__xludf.dummyfunction("""COMPUTED_VALUE"""),"Mahesh")</f>
        <v>Mahesh</v>
      </c>
      <c r="L58" s="322" t="str">
        <f aca="false">IFERROR(__xludf.dummyfunction("""COMPUTED_VALUE"""),"Hanumant")</f>
        <v>Hanumant</v>
      </c>
      <c r="M58" s="322" t="str">
        <f aca="false">IFERROR(__xludf.dummyfunction("""COMPUTED_VALUE"""),"Patil Mahesh Hanumant")</f>
        <v>Patil Mahesh Hanumant</v>
      </c>
      <c r="N58" s="322" t="str">
        <f aca="false">IFERROR(__xludf.dummyfunction("""COMPUTED_VALUE"""),"Patil Mahesh H.")</f>
        <v>Patil Mahesh H.</v>
      </c>
      <c r="O58" s="322" t="str">
        <f aca="false">IFERROR(__xludf.dummyfunction("""COMPUTED_VALUE"""),"Patil M. H.")</f>
        <v>Patil M. H.</v>
      </c>
      <c r="P58" s="321" t="str">
        <f aca="false">IFERROR(__xludf.dummyfunction("""COMPUTED_VALUE"""),"REG")</f>
        <v>REG</v>
      </c>
      <c r="Q58" s="322" t="str">
        <f aca="false">IFERROR(__xludf.dummyfunction("""COMPUTED_VALUE"""),"")</f>
        <v/>
      </c>
      <c r="R58" s="322" t="str">
        <f aca="false">IFERROR(__xludf.dummyfunction("""COMPUTED_VALUE"""),"")</f>
        <v/>
      </c>
      <c r="S58" s="322" t="str">
        <f aca="false">IFERROR(__xludf.dummyfunction("""COMPUTED_VALUE"""),"")</f>
        <v/>
      </c>
      <c r="T58" s="321" t="str">
        <f aca="false">IFERROR(__xludf.dummyfunction("""COMPUTED_VALUE"""),"NT2")</f>
        <v>NT2</v>
      </c>
      <c r="U58" s="321" t="str">
        <f aca="false">IFERROR(__xludf.dummyfunction("""COMPUTED_VALUE"""),"M")</f>
        <v>M</v>
      </c>
      <c r="V58" s="321" t="n">
        <f aca="false">IFERROR(__xludf.dummyfunction("""COMPUTED_VALUE"""),2017)</f>
        <v>2017</v>
      </c>
      <c r="W58" s="322" t="str">
        <f aca="false">IFERROR(__xludf.dummyfunction("""COMPUTED_VALUE"""),"At Jamb Post Kurwali Tal Indapur Dist Pune-413104")</f>
        <v>At Jamb Post Kurwali Tal Indapur Dist Pune-413104</v>
      </c>
      <c r="X58" s="321" t="n">
        <f aca="false">IFERROR(__xludf.dummyfunction("""COMPUTED_VALUE"""),9172342296)</f>
        <v>9172342296</v>
      </c>
      <c r="Y58" s="321" t="n">
        <f aca="false">IFERROR(__xludf.dummyfunction("""COMPUTED_VALUE"""),9561886524)</f>
        <v>9561886524</v>
      </c>
      <c r="Z58" s="175"/>
      <c r="AA58" s="175"/>
      <c r="AB58" s="175"/>
      <c r="AC58" s="175"/>
      <c r="AD58" s="175"/>
      <c r="AE58" s="175"/>
      <c r="AF58" s="175"/>
      <c r="AG58" s="175"/>
      <c r="AH58" s="175"/>
      <c r="AI58" s="175"/>
      <c r="AJ58" s="175"/>
    </row>
    <row r="59" customFormat="false" ht="15.75" hidden="false" customHeight="true" outlineLevel="0" collapsed="false">
      <c r="A59" s="80" t="n">
        <v>54</v>
      </c>
      <c r="B59" s="323" t="n">
        <f aca="false">IFERROR(__xludf.dummyfunction("""COMPUTED_VALUE"""),926)</f>
        <v>926</v>
      </c>
      <c r="C59" s="321" t="str">
        <f aca="false">IFERROR(__xludf.dummyfunction("""COMPUTED_VALUE"""),"COMP")</f>
        <v>COMP</v>
      </c>
      <c r="D59" s="321" t="str">
        <f aca="false">IFERROR(__xludf.dummyfunction("""COMPUTED_VALUE"""),"SE")</f>
        <v>SE</v>
      </c>
      <c r="E59" s="321" t="str">
        <f aca="false">IFERROR(__xludf.dummyfunction("""COMPUTED_VALUE"""),"")</f>
        <v/>
      </c>
      <c r="F59" s="321" t="n">
        <f aca="false">IFERROR(__xludf.dummyfunction("""COMPUTED_VALUE"""),1821073)</f>
        <v>1821073</v>
      </c>
      <c r="G59" s="321" t="str">
        <f aca="false">IFERROR(__xludf.dummyfunction("""COMPUTED_VALUE"""),"Ms.")</f>
        <v>Ms.</v>
      </c>
      <c r="H59" s="322" t="str">
        <f aca="false">IFERROR(__xludf.dummyfunction("""COMPUTED_VALUE"""),"Ambale Harshada Ravi")</f>
        <v>Ambale Harshada Ravi</v>
      </c>
      <c r="I59" s="321" t="str">
        <f aca="false">IFERROR(__xludf.dummyfunction("""COMPUTED_VALUE"""),"")</f>
        <v/>
      </c>
      <c r="J59" s="322" t="str">
        <f aca="false">IFERROR(__xludf.dummyfunction("""COMPUTED_VALUE"""),"Ambale")</f>
        <v>Ambale</v>
      </c>
      <c r="K59" s="322" t="str">
        <f aca="false">IFERROR(__xludf.dummyfunction("""COMPUTED_VALUE"""),"Harshada")</f>
        <v>Harshada</v>
      </c>
      <c r="L59" s="322" t="str">
        <f aca="false">IFERROR(__xludf.dummyfunction("""COMPUTED_VALUE"""),"Ravi")</f>
        <v>Ravi</v>
      </c>
      <c r="M59" s="322" t="str">
        <f aca="false">IFERROR(__xludf.dummyfunction("""COMPUTED_VALUE"""),"Ambale Harshada Ravi")</f>
        <v>Ambale Harshada Ravi</v>
      </c>
      <c r="N59" s="322" t="str">
        <f aca="false">IFERROR(__xludf.dummyfunction("""COMPUTED_VALUE"""),"Ambale Harshada R.")</f>
        <v>Ambale Harshada R.</v>
      </c>
      <c r="O59" s="322" t="str">
        <f aca="false">IFERROR(__xludf.dummyfunction("""COMPUTED_VALUE"""),"Ambale H. R.")</f>
        <v>Ambale H. R.</v>
      </c>
      <c r="P59" s="321" t="str">
        <f aca="false">IFERROR(__xludf.dummyfunction("""COMPUTED_VALUE"""),"REG")</f>
        <v>REG</v>
      </c>
      <c r="Q59" s="322" t="str">
        <f aca="false">IFERROR(__xludf.dummyfunction("""COMPUTED_VALUE"""),"")</f>
        <v/>
      </c>
      <c r="R59" s="322" t="str">
        <f aca="false">IFERROR(__xludf.dummyfunction("""COMPUTED_VALUE"""),"")</f>
        <v/>
      </c>
      <c r="S59" s="322" t="str">
        <f aca="false">IFERROR(__xludf.dummyfunction("""COMPUTED_VALUE"""),"")</f>
        <v/>
      </c>
      <c r="T59" s="321" t="str">
        <f aca="false">IFERROR(__xludf.dummyfunction("""COMPUTED_VALUE"""),"SBC")</f>
        <v>SBC</v>
      </c>
      <c r="U59" s="321" t="str">
        <f aca="false">IFERROR(__xludf.dummyfunction("""COMPUTED_VALUE"""),"F")</f>
        <v>F</v>
      </c>
      <c r="V59" s="321" t="n">
        <f aca="false">IFERROR(__xludf.dummyfunction("""COMPUTED_VALUE"""),2018)</f>
        <v>2018</v>
      </c>
      <c r="W59" s="322" t="str">
        <f aca="false">IFERROR(__xludf.dummyfunction("""COMPUTED_VALUE"""),"Azad Chawk Vairag, Tal-Barshi, Dist-Solapur")</f>
        <v>Azad Chawk Vairag, Tal-Barshi, Dist-Solapur</v>
      </c>
      <c r="X59" s="321" t="n">
        <f aca="false">IFERROR(__xludf.dummyfunction("""COMPUTED_VALUE"""),9921435767)</f>
        <v>9921435767</v>
      </c>
      <c r="Y59" s="321" t="n">
        <f aca="false">IFERROR(__xludf.dummyfunction("""COMPUTED_VALUE"""),9011908171)</f>
        <v>9011908171</v>
      </c>
      <c r="Z59" s="175"/>
      <c r="AA59" s="175"/>
      <c r="AB59" s="175"/>
      <c r="AC59" s="175"/>
      <c r="AD59" s="175"/>
      <c r="AE59" s="175"/>
      <c r="AF59" s="175"/>
      <c r="AG59" s="175"/>
      <c r="AH59" s="175"/>
      <c r="AI59" s="175"/>
      <c r="AJ59" s="175"/>
    </row>
    <row r="60" customFormat="false" ht="15.75" hidden="false" customHeight="true" outlineLevel="0" collapsed="false">
      <c r="A60" s="80" t="n">
        <v>55</v>
      </c>
      <c r="B60" s="323" t="n">
        <f aca="false">IFERROR(__xludf.dummyfunction("""COMPUTED_VALUE"""),927)</f>
        <v>927</v>
      </c>
      <c r="C60" s="321" t="str">
        <f aca="false">IFERROR(__xludf.dummyfunction("""COMPUTED_VALUE"""),"COMP")</f>
        <v>COMP</v>
      </c>
      <c r="D60" s="321" t="str">
        <f aca="false">IFERROR(__xludf.dummyfunction("""COMPUTED_VALUE"""),"SE")</f>
        <v>SE</v>
      </c>
      <c r="E60" s="321" t="str">
        <f aca="false">IFERROR(__xludf.dummyfunction("""COMPUTED_VALUE"""),"")</f>
        <v/>
      </c>
      <c r="F60" s="321" t="n">
        <f aca="false">IFERROR(__xludf.dummyfunction("""COMPUTED_VALUE"""),1821074)</f>
        <v>1821074</v>
      </c>
      <c r="G60" s="321" t="str">
        <f aca="false">IFERROR(__xludf.dummyfunction("""COMPUTED_VALUE"""),"Ms.")</f>
        <v>Ms.</v>
      </c>
      <c r="H60" s="322" t="str">
        <f aca="false">IFERROR(__xludf.dummyfunction("""COMPUTED_VALUE"""),"Atole Rajeshwari Sitaram")</f>
        <v>Atole Rajeshwari Sitaram</v>
      </c>
      <c r="I60" s="321" t="str">
        <f aca="false">IFERROR(__xludf.dummyfunction("""COMPUTED_VALUE"""),"")</f>
        <v/>
      </c>
      <c r="J60" s="322" t="str">
        <f aca="false">IFERROR(__xludf.dummyfunction("""COMPUTED_VALUE"""),"Atole")</f>
        <v>Atole</v>
      </c>
      <c r="K60" s="322" t="str">
        <f aca="false">IFERROR(__xludf.dummyfunction("""COMPUTED_VALUE"""),"Rajeshwari")</f>
        <v>Rajeshwari</v>
      </c>
      <c r="L60" s="322" t="str">
        <f aca="false">IFERROR(__xludf.dummyfunction("""COMPUTED_VALUE"""),"Sitaram")</f>
        <v>Sitaram</v>
      </c>
      <c r="M60" s="322" t="str">
        <f aca="false">IFERROR(__xludf.dummyfunction("""COMPUTED_VALUE"""),"Atole Rajeshwari Sitaram")</f>
        <v>Atole Rajeshwari Sitaram</v>
      </c>
      <c r="N60" s="322" t="str">
        <f aca="false">IFERROR(__xludf.dummyfunction("""COMPUTED_VALUE"""),"Atole Rajeshwari S.")</f>
        <v>Atole Rajeshwari S.</v>
      </c>
      <c r="O60" s="322" t="str">
        <f aca="false">IFERROR(__xludf.dummyfunction("""COMPUTED_VALUE"""),"Atole R. S.")</f>
        <v>Atole R. S.</v>
      </c>
      <c r="P60" s="321" t="str">
        <f aca="false">IFERROR(__xludf.dummyfunction("""COMPUTED_VALUE"""),"REG")</f>
        <v>REG</v>
      </c>
      <c r="Q60" s="322" t="str">
        <f aca="false">IFERROR(__xludf.dummyfunction("""COMPUTED_VALUE"""),"")</f>
        <v/>
      </c>
      <c r="R60" s="322" t="str">
        <f aca="false">IFERROR(__xludf.dummyfunction("""COMPUTED_VALUE"""),"")</f>
        <v/>
      </c>
      <c r="S60" s="322" t="str">
        <f aca="false">IFERROR(__xludf.dummyfunction("""COMPUTED_VALUE"""),"")</f>
        <v/>
      </c>
      <c r="T60" s="321" t="str">
        <f aca="false">IFERROR(__xludf.dummyfunction("""COMPUTED_VALUE"""),"NT2")</f>
        <v>NT2</v>
      </c>
      <c r="U60" s="321" t="str">
        <f aca="false">IFERROR(__xludf.dummyfunction("""COMPUTED_VALUE"""),"F")</f>
        <v>F</v>
      </c>
      <c r="V60" s="321" t="n">
        <f aca="false">IFERROR(__xludf.dummyfunction("""COMPUTED_VALUE"""),2018)</f>
        <v>2018</v>
      </c>
      <c r="W60" s="322" t="str">
        <f aca="false">IFERROR(__xludf.dummyfunction("""COMPUTED_VALUE"""),"A/P- Rawangaon Tal-Daund Dist-Pune")</f>
        <v>A/P- Rawangaon Tal-Daund Dist-Pune</v>
      </c>
      <c r="X60" s="321" t="n">
        <f aca="false">IFERROR(__xludf.dummyfunction("""COMPUTED_VALUE"""),8888630210)</f>
        <v>8888630210</v>
      </c>
      <c r="Y60" s="321" t="n">
        <f aca="false">IFERROR(__xludf.dummyfunction("""COMPUTED_VALUE"""),7057153707)</f>
        <v>7057153707</v>
      </c>
      <c r="Z60" s="175"/>
      <c r="AA60" s="175"/>
      <c r="AB60" s="175"/>
      <c r="AC60" s="175"/>
      <c r="AD60" s="175"/>
      <c r="AE60" s="175"/>
      <c r="AF60" s="175"/>
      <c r="AG60" s="175"/>
      <c r="AH60" s="175"/>
      <c r="AI60" s="175"/>
      <c r="AJ60" s="175"/>
    </row>
    <row r="61" customFormat="false" ht="15.75" hidden="false" customHeight="true" outlineLevel="0" collapsed="false">
      <c r="A61" s="80" t="n">
        <v>56</v>
      </c>
      <c r="B61" s="323" t="n">
        <f aca="false">IFERROR(__xludf.dummyfunction("""COMPUTED_VALUE"""),928)</f>
        <v>928</v>
      </c>
      <c r="C61" s="321" t="str">
        <f aca="false">IFERROR(__xludf.dummyfunction("""COMPUTED_VALUE"""),"COMP")</f>
        <v>COMP</v>
      </c>
      <c r="D61" s="321" t="str">
        <f aca="false">IFERROR(__xludf.dummyfunction("""COMPUTED_VALUE"""),"SE")</f>
        <v>SE</v>
      </c>
      <c r="E61" s="321" t="str">
        <f aca="false">IFERROR(__xludf.dummyfunction("""COMPUTED_VALUE"""),"")</f>
        <v/>
      </c>
      <c r="F61" s="321" t="n">
        <f aca="false">IFERROR(__xludf.dummyfunction("""COMPUTED_VALUE"""),1821075)</f>
        <v>1821075</v>
      </c>
      <c r="G61" s="321" t="str">
        <f aca="false">IFERROR(__xludf.dummyfunction("""COMPUTED_VALUE"""),"Ms.")</f>
        <v>Ms.</v>
      </c>
      <c r="H61" s="322" t="str">
        <f aca="false">IFERROR(__xludf.dummyfunction("""COMPUTED_VALUE"""),"Awale Swati Hanmant")</f>
        <v>Awale Swati Hanmant</v>
      </c>
      <c r="I61" s="321" t="str">
        <f aca="false">IFERROR(__xludf.dummyfunction("""COMPUTED_VALUE"""),"")</f>
        <v/>
      </c>
      <c r="J61" s="322" t="str">
        <f aca="false">IFERROR(__xludf.dummyfunction("""COMPUTED_VALUE"""),"Awale")</f>
        <v>Awale</v>
      </c>
      <c r="K61" s="322" t="str">
        <f aca="false">IFERROR(__xludf.dummyfunction("""COMPUTED_VALUE"""),"Swati")</f>
        <v>Swati</v>
      </c>
      <c r="L61" s="322" t="str">
        <f aca="false">IFERROR(__xludf.dummyfunction("""COMPUTED_VALUE"""),"Hanmant")</f>
        <v>Hanmant</v>
      </c>
      <c r="M61" s="322" t="str">
        <f aca="false">IFERROR(__xludf.dummyfunction("""COMPUTED_VALUE"""),"Awale Swati Hanmant")</f>
        <v>Awale Swati Hanmant</v>
      </c>
      <c r="N61" s="322" t="str">
        <f aca="false">IFERROR(__xludf.dummyfunction("""COMPUTED_VALUE"""),"Awale Swati H.")</f>
        <v>Awale Swati H.</v>
      </c>
      <c r="O61" s="322" t="str">
        <f aca="false">IFERROR(__xludf.dummyfunction("""COMPUTED_VALUE"""),"Awale S. H.")</f>
        <v>Awale S. H.</v>
      </c>
      <c r="P61" s="321" t="str">
        <f aca="false">IFERROR(__xludf.dummyfunction("""COMPUTED_VALUE"""),"REG")</f>
        <v>REG</v>
      </c>
      <c r="Q61" s="322" t="str">
        <f aca="false">IFERROR(__xludf.dummyfunction("""COMPUTED_VALUE"""),"")</f>
        <v/>
      </c>
      <c r="R61" s="322" t="str">
        <f aca="false">IFERROR(__xludf.dummyfunction("""COMPUTED_VALUE"""),"")</f>
        <v/>
      </c>
      <c r="S61" s="322" t="str">
        <f aca="false">IFERROR(__xludf.dummyfunction("""COMPUTED_VALUE"""),"")</f>
        <v/>
      </c>
      <c r="T61" s="321" t="str">
        <f aca="false">IFERROR(__xludf.dummyfunction("""COMPUTED_VALUE"""),"OPEN")</f>
        <v>OPEN</v>
      </c>
      <c r="U61" s="321" t="str">
        <f aca="false">IFERROR(__xludf.dummyfunction("""COMPUTED_VALUE"""),"F")</f>
        <v>F</v>
      </c>
      <c r="V61" s="321" t="n">
        <f aca="false">IFERROR(__xludf.dummyfunction("""COMPUTED_VALUE"""),2018)</f>
        <v>2018</v>
      </c>
      <c r="W61" s="322" t="str">
        <f aca="false">IFERROR(__xludf.dummyfunction("""COMPUTED_VALUE"""),"At.Wadmurambi Tq.Deoni Dist.Latur Pin.413519")</f>
        <v>At.Wadmurambi Tq.Deoni Dist.Latur Pin.413519</v>
      </c>
      <c r="X61" s="321" t="n">
        <f aca="false">IFERROR(__xludf.dummyfunction("""COMPUTED_VALUE"""),9403668327)</f>
        <v>9403668327</v>
      </c>
      <c r="Y61" s="321" t="n">
        <f aca="false">IFERROR(__xludf.dummyfunction("""COMPUTED_VALUE"""),7058473671)</f>
        <v>7058473671</v>
      </c>
      <c r="Z61" s="175"/>
      <c r="AA61" s="175"/>
      <c r="AB61" s="175"/>
      <c r="AC61" s="175"/>
      <c r="AD61" s="175"/>
      <c r="AE61" s="175"/>
      <c r="AF61" s="175"/>
      <c r="AG61" s="175"/>
      <c r="AH61" s="175"/>
      <c r="AI61" s="175"/>
      <c r="AJ61" s="175"/>
    </row>
    <row r="62" customFormat="false" ht="15.75" hidden="false" customHeight="true" outlineLevel="0" collapsed="false">
      <c r="A62" s="80" t="n">
        <v>57</v>
      </c>
      <c r="B62" s="323" t="n">
        <f aca="false">IFERROR(__xludf.dummyfunction("""COMPUTED_VALUE"""),929)</f>
        <v>929</v>
      </c>
      <c r="C62" s="321" t="str">
        <f aca="false">IFERROR(__xludf.dummyfunction("""COMPUTED_VALUE"""),"COMP")</f>
        <v>COMP</v>
      </c>
      <c r="D62" s="321" t="str">
        <f aca="false">IFERROR(__xludf.dummyfunction("""COMPUTED_VALUE"""),"SE")</f>
        <v>SE</v>
      </c>
      <c r="E62" s="321" t="str">
        <f aca="false">IFERROR(__xludf.dummyfunction("""COMPUTED_VALUE"""),"")</f>
        <v/>
      </c>
      <c r="F62" s="321" t="n">
        <f aca="false">IFERROR(__xludf.dummyfunction("""COMPUTED_VALUE"""),1821076)</f>
        <v>1821076</v>
      </c>
      <c r="G62" s="321" t="str">
        <f aca="false">IFERROR(__xludf.dummyfunction("""COMPUTED_VALUE"""),"Ms.")</f>
        <v>Ms.</v>
      </c>
      <c r="H62" s="322" t="str">
        <f aca="false">IFERROR(__xludf.dummyfunction("""COMPUTED_VALUE"""),"Bahadurkar Aishwarya Jayprakash")</f>
        <v>Bahadurkar Aishwarya Jayprakash</v>
      </c>
      <c r="I62" s="321" t="str">
        <f aca="false">IFERROR(__xludf.dummyfunction("""COMPUTED_VALUE"""),"")</f>
        <v/>
      </c>
      <c r="J62" s="322" t="str">
        <f aca="false">IFERROR(__xludf.dummyfunction("""COMPUTED_VALUE"""),"Bahadurkar")</f>
        <v>Bahadurkar</v>
      </c>
      <c r="K62" s="322" t="str">
        <f aca="false">IFERROR(__xludf.dummyfunction("""COMPUTED_VALUE"""),"Aishwarya")</f>
        <v>Aishwarya</v>
      </c>
      <c r="L62" s="322" t="str">
        <f aca="false">IFERROR(__xludf.dummyfunction("""COMPUTED_VALUE"""),"Jayprakash")</f>
        <v>Jayprakash</v>
      </c>
      <c r="M62" s="322" t="str">
        <f aca="false">IFERROR(__xludf.dummyfunction("""COMPUTED_VALUE"""),"Bahadurkar Aishwarya Jayprakash")</f>
        <v>Bahadurkar Aishwarya Jayprakash</v>
      </c>
      <c r="N62" s="322" t="str">
        <f aca="false">IFERROR(__xludf.dummyfunction("""COMPUTED_VALUE"""),"Bahadurkar Aishwarya J.")</f>
        <v>Bahadurkar Aishwarya J.</v>
      </c>
      <c r="O62" s="322" t="str">
        <f aca="false">IFERROR(__xludf.dummyfunction("""COMPUTED_VALUE"""),"Bahadurkar A. J.")</f>
        <v>Bahadurkar A. J.</v>
      </c>
      <c r="P62" s="321" t="str">
        <f aca="false">IFERROR(__xludf.dummyfunction("""COMPUTED_VALUE"""),"REG")</f>
        <v>REG</v>
      </c>
      <c r="Q62" s="322" t="str">
        <f aca="false">IFERROR(__xludf.dummyfunction("""COMPUTED_VALUE"""),"")</f>
        <v/>
      </c>
      <c r="R62" s="322" t="str">
        <f aca="false">IFERROR(__xludf.dummyfunction("""COMPUTED_VALUE"""),"")</f>
        <v/>
      </c>
      <c r="S62" s="322" t="str">
        <f aca="false">IFERROR(__xludf.dummyfunction("""COMPUTED_VALUE"""),"")</f>
        <v/>
      </c>
      <c r="T62" s="321" t="str">
        <f aca="false">IFERROR(__xludf.dummyfunction("""COMPUTED_VALUE"""),"NT1")</f>
        <v>NT1</v>
      </c>
      <c r="U62" s="321" t="str">
        <f aca="false">IFERROR(__xludf.dummyfunction("""COMPUTED_VALUE"""),"F")</f>
        <v>F</v>
      </c>
      <c r="V62" s="321" t="n">
        <f aca="false">IFERROR(__xludf.dummyfunction("""COMPUTED_VALUE"""),2018)</f>
        <v>2018</v>
      </c>
      <c r="W62" s="322" t="str">
        <f aca="false">IFERROR(__xludf.dummyfunction("""COMPUTED_VALUE"""),"A/P: Satwaji Nagar , Near Ganesh Bhaji Mandai, Tal: Baramati, Baramati,Pune,Maharashtra-413102")</f>
        <v>A/P: Satwaji Nagar , Near Ganesh Bhaji Mandai, Tal: Baramati, Baramati,Pune,Maharashtra-413102</v>
      </c>
      <c r="X62" s="321" t="n">
        <f aca="false">IFERROR(__xludf.dummyfunction("""COMPUTED_VALUE"""),9527690104)</f>
        <v>9527690104</v>
      </c>
      <c r="Y62" s="321" t="n">
        <f aca="false">IFERROR(__xludf.dummyfunction("""COMPUTED_VALUE"""),9527690104)</f>
        <v>9527690104</v>
      </c>
      <c r="Z62" s="175"/>
      <c r="AA62" s="175"/>
      <c r="AB62" s="175"/>
      <c r="AC62" s="175"/>
      <c r="AD62" s="175"/>
      <c r="AE62" s="175"/>
      <c r="AF62" s="175"/>
      <c r="AG62" s="175"/>
      <c r="AH62" s="175"/>
      <c r="AI62" s="175"/>
      <c r="AJ62" s="175"/>
    </row>
    <row r="63" customFormat="false" ht="15.75" hidden="false" customHeight="true" outlineLevel="0" collapsed="false">
      <c r="A63" s="80" t="n">
        <v>58</v>
      </c>
      <c r="B63" s="323" t="n">
        <f aca="false">IFERROR(__xludf.dummyfunction("""COMPUTED_VALUE"""),930)</f>
        <v>930</v>
      </c>
      <c r="C63" s="321" t="str">
        <f aca="false">IFERROR(__xludf.dummyfunction("""COMPUTED_VALUE"""),"COMP")</f>
        <v>COMP</v>
      </c>
      <c r="D63" s="321" t="str">
        <f aca="false">IFERROR(__xludf.dummyfunction("""COMPUTED_VALUE"""),"SE")</f>
        <v>SE</v>
      </c>
      <c r="E63" s="321" t="str">
        <f aca="false">IFERROR(__xludf.dummyfunction("""COMPUTED_VALUE"""),"")</f>
        <v/>
      </c>
      <c r="F63" s="321" t="n">
        <f aca="false">IFERROR(__xludf.dummyfunction("""COMPUTED_VALUE"""),1821077)</f>
        <v>1821077</v>
      </c>
      <c r="G63" s="321" t="str">
        <f aca="false">IFERROR(__xludf.dummyfunction("""COMPUTED_VALUE"""),"Mr.")</f>
        <v>Mr.</v>
      </c>
      <c r="H63" s="322" t="str">
        <f aca="false">IFERROR(__xludf.dummyfunction("""COMPUTED_VALUE"""),"Chamle Mukesh Shivaji")</f>
        <v>Chamle Mukesh Shivaji</v>
      </c>
      <c r="I63" s="321" t="str">
        <f aca="false">IFERROR(__xludf.dummyfunction("""COMPUTED_VALUE"""),"")</f>
        <v/>
      </c>
      <c r="J63" s="322" t="str">
        <f aca="false">IFERROR(__xludf.dummyfunction("""COMPUTED_VALUE"""),"Chamle")</f>
        <v>Chamle</v>
      </c>
      <c r="K63" s="322" t="str">
        <f aca="false">IFERROR(__xludf.dummyfunction("""COMPUTED_VALUE"""),"Mukesh")</f>
        <v>Mukesh</v>
      </c>
      <c r="L63" s="322" t="str">
        <f aca="false">IFERROR(__xludf.dummyfunction("""COMPUTED_VALUE"""),"Shivaji")</f>
        <v>Shivaji</v>
      </c>
      <c r="M63" s="322" t="str">
        <f aca="false">IFERROR(__xludf.dummyfunction("""COMPUTED_VALUE"""),"Chamle Mukesh Shivaji")</f>
        <v>Chamle Mukesh Shivaji</v>
      </c>
      <c r="N63" s="322" t="str">
        <f aca="false">IFERROR(__xludf.dummyfunction("""COMPUTED_VALUE"""),"Chamle Mukesh S.")</f>
        <v>Chamle Mukesh S.</v>
      </c>
      <c r="O63" s="322" t="str">
        <f aca="false">IFERROR(__xludf.dummyfunction("""COMPUTED_VALUE"""),"Chamle M. S.")</f>
        <v>Chamle M. S.</v>
      </c>
      <c r="P63" s="321" t="str">
        <f aca="false">IFERROR(__xludf.dummyfunction("""COMPUTED_VALUE"""),"REG")</f>
        <v>REG</v>
      </c>
      <c r="Q63" s="322" t="str">
        <f aca="false">IFERROR(__xludf.dummyfunction("""COMPUTED_VALUE"""),"")</f>
        <v/>
      </c>
      <c r="R63" s="322" t="str">
        <f aca="false">IFERROR(__xludf.dummyfunction("""COMPUTED_VALUE"""),"")</f>
        <v/>
      </c>
      <c r="S63" s="322" t="str">
        <f aca="false">IFERROR(__xludf.dummyfunction("""COMPUTED_VALUE"""),"")</f>
        <v/>
      </c>
      <c r="T63" s="321" t="str">
        <f aca="false">IFERROR(__xludf.dummyfunction("""COMPUTED_VALUE"""),"OBC")</f>
        <v>OBC</v>
      </c>
      <c r="U63" s="321" t="str">
        <f aca="false">IFERROR(__xludf.dummyfunction("""COMPUTED_VALUE"""),"M")</f>
        <v>M</v>
      </c>
      <c r="V63" s="321" t="n">
        <f aca="false">IFERROR(__xludf.dummyfunction("""COMPUTED_VALUE"""),2018)</f>
        <v>2018</v>
      </c>
      <c r="W63" s="322" t="str">
        <f aca="false">IFERROR(__xludf.dummyfunction("""COMPUTED_VALUE"""),"Kalmugali Tq.Nilanga Dist Latur Pin 413522")</f>
        <v>Kalmugali Tq.Nilanga Dist Latur Pin 413522</v>
      </c>
      <c r="X63" s="321" t="n">
        <f aca="false">IFERROR(__xludf.dummyfunction("""COMPUTED_VALUE"""),9970009591)</f>
        <v>9970009591</v>
      </c>
      <c r="Y63" s="321" t="n">
        <f aca="false">IFERROR(__xludf.dummyfunction("""COMPUTED_VALUE"""),9970009591)</f>
        <v>9970009591</v>
      </c>
      <c r="Z63" s="175"/>
      <c r="AA63" s="175"/>
      <c r="AB63" s="175"/>
      <c r="AC63" s="175"/>
      <c r="AD63" s="175"/>
      <c r="AE63" s="175"/>
      <c r="AF63" s="175"/>
      <c r="AG63" s="175"/>
      <c r="AH63" s="175"/>
      <c r="AI63" s="175"/>
      <c r="AJ63" s="175"/>
    </row>
    <row r="64" customFormat="false" ht="15.75" hidden="false" customHeight="true" outlineLevel="0" collapsed="false">
      <c r="A64" s="80" t="n">
        <v>59</v>
      </c>
      <c r="B64" s="323" t="n">
        <f aca="false">IFERROR(__xludf.dummyfunction("""COMPUTED_VALUE"""),931)</f>
        <v>931</v>
      </c>
      <c r="C64" s="321" t="str">
        <f aca="false">IFERROR(__xludf.dummyfunction("""COMPUTED_VALUE"""),"COMP")</f>
        <v>COMP</v>
      </c>
      <c r="D64" s="321" t="str">
        <f aca="false">IFERROR(__xludf.dummyfunction("""COMPUTED_VALUE"""),"SE")</f>
        <v>SE</v>
      </c>
      <c r="E64" s="321" t="str">
        <f aca="false">IFERROR(__xludf.dummyfunction("""COMPUTED_VALUE"""),"")</f>
        <v/>
      </c>
      <c r="F64" s="321" t="n">
        <f aca="false">IFERROR(__xludf.dummyfunction("""COMPUTED_VALUE"""),1821078)</f>
        <v>1821078</v>
      </c>
      <c r="G64" s="321" t="str">
        <f aca="false">IFERROR(__xludf.dummyfunction("""COMPUTED_VALUE"""),"Ms.")</f>
        <v>Ms.</v>
      </c>
      <c r="H64" s="322" t="str">
        <f aca="false">IFERROR(__xludf.dummyfunction("""COMPUTED_VALUE"""),"Gaikwad Vaishnavi Rajesh")</f>
        <v>Gaikwad Vaishnavi Rajesh</v>
      </c>
      <c r="I64" s="321" t="str">
        <f aca="false">IFERROR(__xludf.dummyfunction("""COMPUTED_VALUE"""),"")</f>
        <v/>
      </c>
      <c r="J64" s="322" t="str">
        <f aca="false">IFERROR(__xludf.dummyfunction("""COMPUTED_VALUE"""),"Gaikwad")</f>
        <v>Gaikwad</v>
      </c>
      <c r="K64" s="322" t="str">
        <f aca="false">IFERROR(__xludf.dummyfunction("""COMPUTED_VALUE"""),"Vaishnavi")</f>
        <v>Vaishnavi</v>
      </c>
      <c r="L64" s="322" t="str">
        <f aca="false">IFERROR(__xludf.dummyfunction("""COMPUTED_VALUE"""),"Rajesh")</f>
        <v>Rajesh</v>
      </c>
      <c r="M64" s="322" t="str">
        <f aca="false">IFERROR(__xludf.dummyfunction("""COMPUTED_VALUE"""),"Gaikwad Vaishnavi Rajesh")</f>
        <v>Gaikwad Vaishnavi Rajesh</v>
      </c>
      <c r="N64" s="322" t="str">
        <f aca="false">IFERROR(__xludf.dummyfunction("""COMPUTED_VALUE"""),"Gaikwad Vaishnavi R.")</f>
        <v>Gaikwad Vaishnavi R.</v>
      </c>
      <c r="O64" s="322" t="str">
        <f aca="false">IFERROR(__xludf.dummyfunction("""COMPUTED_VALUE"""),"Gaikwad V. R.")</f>
        <v>Gaikwad V. R.</v>
      </c>
      <c r="P64" s="321" t="str">
        <f aca="false">IFERROR(__xludf.dummyfunction("""COMPUTED_VALUE"""),"REG")</f>
        <v>REG</v>
      </c>
      <c r="Q64" s="322" t="str">
        <f aca="false">IFERROR(__xludf.dummyfunction("""COMPUTED_VALUE"""),"")</f>
        <v/>
      </c>
      <c r="R64" s="322" t="str">
        <f aca="false">IFERROR(__xludf.dummyfunction("""COMPUTED_VALUE"""),"")</f>
        <v/>
      </c>
      <c r="S64" s="322" t="str">
        <f aca="false">IFERROR(__xludf.dummyfunction("""COMPUTED_VALUE"""),"")</f>
        <v/>
      </c>
      <c r="T64" s="321" t="str">
        <f aca="false">IFERROR(__xludf.dummyfunction("""COMPUTED_VALUE"""),"OPEN")</f>
        <v>OPEN</v>
      </c>
      <c r="U64" s="321" t="str">
        <f aca="false">IFERROR(__xludf.dummyfunction("""COMPUTED_VALUE"""),"F")</f>
        <v>F</v>
      </c>
      <c r="V64" s="321" t="n">
        <f aca="false">IFERROR(__xludf.dummyfunction("""COMPUTED_VALUE"""),2018)</f>
        <v>2018</v>
      </c>
      <c r="W64" s="322" t="str">
        <f aca="false">IFERROR(__xludf.dummyfunction("""COMPUTED_VALUE"""),"A/P. Karanjepul Someshwarnagar Tal.Baramati Dist. Pune")</f>
        <v>A/P. Karanjepul Someshwarnagar Tal.Baramati Dist. Pune</v>
      </c>
      <c r="X64" s="321" t="n">
        <f aca="false">IFERROR(__xludf.dummyfunction("""COMPUTED_VALUE"""),8007690747)</f>
        <v>8007690747</v>
      </c>
      <c r="Y64" s="321" t="n">
        <f aca="false">IFERROR(__xludf.dummyfunction("""COMPUTED_VALUE"""),8007690747)</f>
        <v>8007690747</v>
      </c>
      <c r="Z64" s="175"/>
      <c r="AA64" s="175"/>
      <c r="AB64" s="175"/>
      <c r="AC64" s="175"/>
      <c r="AD64" s="175"/>
      <c r="AE64" s="175"/>
      <c r="AF64" s="175"/>
      <c r="AG64" s="175"/>
      <c r="AH64" s="175"/>
      <c r="AI64" s="175"/>
      <c r="AJ64" s="175"/>
    </row>
    <row r="65" customFormat="false" ht="15.75" hidden="false" customHeight="true" outlineLevel="0" collapsed="false">
      <c r="A65" s="80" t="n">
        <v>60</v>
      </c>
      <c r="B65" s="323" t="n">
        <f aca="false">IFERROR(__xludf.dummyfunction("""COMPUTED_VALUE"""),932)</f>
        <v>932</v>
      </c>
      <c r="C65" s="321" t="str">
        <f aca="false">IFERROR(__xludf.dummyfunction("""COMPUTED_VALUE"""),"COMP")</f>
        <v>COMP</v>
      </c>
      <c r="D65" s="321" t="str">
        <f aca="false">IFERROR(__xludf.dummyfunction("""COMPUTED_VALUE"""),"SE")</f>
        <v>SE</v>
      </c>
      <c r="E65" s="321" t="str">
        <f aca="false">IFERROR(__xludf.dummyfunction("""COMPUTED_VALUE"""),"")</f>
        <v/>
      </c>
      <c r="F65" s="321" t="n">
        <f aca="false">IFERROR(__xludf.dummyfunction("""COMPUTED_VALUE"""),1821079)</f>
        <v>1821079</v>
      </c>
      <c r="G65" s="321" t="str">
        <f aca="false">IFERROR(__xludf.dummyfunction("""COMPUTED_VALUE"""),"Ms.")</f>
        <v>Ms.</v>
      </c>
      <c r="H65" s="322" t="str">
        <f aca="false">IFERROR(__xludf.dummyfunction("""COMPUTED_VALUE"""),"Ghule Sonali Vilas")</f>
        <v>Ghule Sonali Vilas</v>
      </c>
      <c r="I65" s="321" t="str">
        <f aca="false">IFERROR(__xludf.dummyfunction("""COMPUTED_VALUE"""),"")</f>
        <v/>
      </c>
      <c r="J65" s="322" t="str">
        <f aca="false">IFERROR(__xludf.dummyfunction("""COMPUTED_VALUE"""),"Ghule")</f>
        <v>Ghule</v>
      </c>
      <c r="K65" s="322" t="str">
        <f aca="false">IFERROR(__xludf.dummyfunction("""COMPUTED_VALUE"""),"Sonali")</f>
        <v>Sonali</v>
      </c>
      <c r="L65" s="322" t="str">
        <f aca="false">IFERROR(__xludf.dummyfunction("""COMPUTED_VALUE"""),"Vilas")</f>
        <v>Vilas</v>
      </c>
      <c r="M65" s="322" t="str">
        <f aca="false">IFERROR(__xludf.dummyfunction("""COMPUTED_VALUE"""),"Ghule Sonali Vilas")</f>
        <v>Ghule Sonali Vilas</v>
      </c>
      <c r="N65" s="322" t="str">
        <f aca="false">IFERROR(__xludf.dummyfunction("""COMPUTED_VALUE"""),"Ghule Sonali V.")</f>
        <v>Ghule Sonali V.</v>
      </c>
      <c r="O65" s="322" t="str">
        <f aca="false">IFERROR(__xludf.dummyfunction("""COMPUTED_VALUE"""),"Ghule S. V.")</f>
        <v>Ghule S. V.</v>
      </c>
      <c r="P65" s="321" t="str">
        <f aca="false">IFERROR(__xludf.dummyfunction("""COMPUTED_VALUE"""),"REG")</f>
        <v>REG</v>
      </c>
      <c r="Q65" s="322" t="str">
        <f aca="false">IFERROR(__xludf.dummyfunction("""COMPUTED_VALUE"""),"")</f>
        <v/>
      </c>
      <c r="R65" s="322" t="str">
        <f aca="false">IFERROR(__xludf.dummyfunction("""COMPUTED_VALUE"""),"")</f>
        <v/>
      </c>
      <c r="S65" s="322" t="str">
        <f aca="false">IFERROR(__xludf.dummyfunction("""COMPUTED_VALUE"""),"")</f>
        <v/>
      </c>
      <c r="T65" s="321" t="str">
        <f aca="false">IFERROR(__xludf.dummyfunction("""COMPUTED_VALUE"""),"NT2")</f>
        <v>NT2</v>
      </c>
      <c r="U65" s="321" t="str">
        <f aca="false">IFERROR(__xludf.dummyfunction("""COMPUTED_VALUE"""),"F")</f>
        <v>F</v>
      </c>
      <c r="V65" s="321" t="n">
        <f aca="false">IFERROR(__xludf.dummyfunction("""COMPUTED_VALUE"""),2018)</f>
        <v>2018</v>
      </c>
      <c r="W65" s="322" t="str">
        <f aca="false">IFERROR(__xludf.dummyfunction("""COMPUTED_VALUE"""),"A/P Dhekalwadi,Tal-Baramati,Dist-Pune,413104")</f>
        <v>A/P Dhekalwadi,Tal-Baramati,Dist-Pune,413104</v>
      </c>
      <c r="X65" s="321" t="n">
        <f aca="false">IFERROR(__xludf.dummyfunction("""COMPUTED_VALUE"""),9011103564)</f>
        <v>9011103564</v>
      </c>
      <c r="Y65" s="321" t="n">
        <f aca="false">IFERROR(__xludf.dummyfunction("""COMPUTED_VALUE"""),9881502453)</f>
        <v>9881502453</v>
      </c>
      <c r="Z65" s="175"/>
      <c r="AA65" s="175"/>
      <c r="AB65" s="175"/>
      <c r="AC65" s="175"/>
      <c r="AD65" s="175"/>
      <c r="AE65" s="175"/>
      <c r="AF65" s="175"/>
      <c r="AG65" s="175"/>
      <c r="AH65" s="175"/>
      <c r="AI65" s="175"/>
      <c r="AJ65" s="175"/>
    </row>
    <row r="66" customFormat="false" ht="15.75" hidden="false" customHeight="true" outlineLevel="0" collapsed="false">
      <c r="A66" s="80" t="n">
        <v>61</v>
      </c>
      <c r="B66" s="323" t="n">
        <f aca="false">IFERROR(__xludf.dummyfunction("""COMPUTED_VALUE"""),933)</f>
        <v>933</v>
      </c>
      <c r="C66" s="321" t="str">
        <f aca="false">IFERROR(__xludf.dummyfunction("""COMPUTED_VALUE"""),"COMP")</f>
        <v>COMP</v>
      </c>
      <c r="D66" s="321" t="str">
        <f aca="false">IFERROR(__xludf.dummyfunction("""COMPUTED_VALUE"""),"SE")</f>
        <v>SE</v>
      </c>
      <c r="E66" s="321" t="str">
        <f aca="false">IFERROR(__xludf.dummyfunction("""COMPUTED_VALUE"""),"")</f>
        <v/>
      </c>
      <c r="F66" s="321" t="n">
        <f aca="false">IFERROR(__xludf.dummyfunction("""COMPUTED_VALUE"""),1821080)</f>
        <v>1821080</v>
      </c>
      <c r="G66" s="321" t="str">
        <f aca="false">IFERROR(__xludf.dummyfunction("""COMPUTED_VALUE"""),"Ms.")</f>
        <v>Ms.</v>
      </c>
      <c r="H66" s="322" t="str">
        <f aca="false">IFERROR(__xludf.dummyfunction("""COMPUTED_VALUE"""),"Harke Pratidnya Nilkanth")</f>
        <v>Harke Pratidnya Nilkanth</v>
      </c>
      <c r="I66" s="321" t="str">
        <f aca="false">IFERROR(__xludf.dummyfunction("""COMPUTED_VALUE"""),"")</f>
        <v/>
      </c>
      <c r="J66" s="322" t="str">
        <f aca="false">IFERROR(__xludf.dummyfunction("""COMPUTED_VALUE"""),"Harke")</f>
        <v>Harke</v>
      </c>
      <c r="K66" s="322" t="str">
        <f aca="false">IFERROR(__xludf.dummyfunction("""COMPUTED_VALUE"""),"Pratidnya")</f>
        <v>Pratidnya</v>
      </c>
      <c r="L66" s="322" t="str">
        <f aca="false">IFERROR(__xludf.dummyfunction("""COMPUTED_VALUE"""),"Nilkanth")</f>
        <v>Nilkanth</v>
      </c>
      <c r="M66" s="322" t="str">
        <f aca="false">IFERROR(__xludf.dummyfunction("""COMPUTED_VALUE"""),"Harke Pratidnya Nilkanth")</f>
        <v>Harke Pratidnya Nilkanth</v>
      </c>
      <c r="N66" s="322" t="str">
        <f aca="false">IFERROR(__xludf.dummyfunction("""COMPUTED_VALUE"""),"Harke Pratidnya N.")</f>
        <v>Harke Pratidnya N.</v>
      </c>
      <c r="O66" s="322" t="str">
        <f aca="false">IFERROR(__xludf.dummyfunction("""COMPUTED_VALUE"""),"Harke P. N.")</f>
        <v>Harke P. N.</v>
      </c>
      <c r="P66" s="321" t="str">
        <f aca="false">IFERROR(__xludf.dummyfunction("""COMPUTED_VALUE"""),"REG")</f>
        <v>REG</v>
      </c>
      <c r="Q66" s="322" t="str">
        <f aca="false">IFERROR(__xludf.dummyfunction("""COMPUTED_VALUE"""),"")</f>
        <v/>
      </c>
      <c r="R66" s="322" t="str">
        <f aca="false">IFERROR(__xludf.dummyfunction("""COMPUTED_VALUE"""),"")</f>
        <v/>
      </c>
      <c r="S66" s="322" t="str">
        <f aca="false">IFERROR(__xludf.dummyfunction("""COMPUTED_VALUE"""),"")</f>
        <v/>
      </c>
      <c r="T66" s="321" t="str">
        <f aca="false">IFERROR(__xludf.dummyfunction("""COMPUTED_VALUE"""),"SBC")</f>
        <v>SBC</v>
      </c>
      <c r="U66" s="321" t="str">
        <f aca="false">IFERROR(__xludf.dummyfunction("""COMPUTED_VALUE"""),"F")</f>
        <v>F</v>
      </c>
      <c r="V66" s="321" t="n">
        <f aca="false">IFERROR(__xludf.dummyfunction("""COMPUTED_VALUE"""),2018)</f>
        <v>2018</v>
      </c>
      <c r="W66" s="322" t="str">
        <f aca="false">IFERROR(__xludf.dummyfunction("""COMPUTED_VALUE"""),"Near Ausa Hauman Mandir,Juni Saraf Galli ,Latur 413512")</f>
        <v>Near Ausa Hauman Mandir,Juni Saraf Galli ,Latur 413512</v>
      </c>
      <c r="X66" s="321" t="n">
        <f aca="false">IFERROR(__xludf.dummyfunction("""COMPUTED_VALUE"""),9890585137)</f>
        <v>9890585137</v>
      </c>
      <c r="Y66" s="321" t="n">
        <f aca="false">IFERROR(__xludf.dummyfunction("""COMPUTED_VALUE"""),9890585137)</f>
        <v>9890585137</v>
      </c>
      <c r="Z66" s="175"/>
      <c r="AA66" s="175"/>
      <c r="AB66" s="175"/>
      <c r="AC66" s="175"/>
      <c r="AD66" s="175"/>
      <c r="AE66" s="175"/>
      <c r="AF66" s="175"/>
      <c r="AG66" s="175"/>
      <c r="AH66" s="175"/>
      <c r="AI66" s="175"/>
      <c r="AJ66" s="175"/>
    </row>
    <row r="67" customFormat="false" ht="15.75" hidden="false" customHeight="true" outlineLevel="0" collapsed="false">
      <c r="A67" s="80" t="n">
        <v>62</v>
      </c>
      <c r="B67" s="323" t="n">
        <f aca="false">IFERROR(__xludf.dummyfunction("""COMPUTED_VALUE"""),934)</f>
        <v>934</v>
      </c>
      <c r="C67" s="321" t="str">
        <f aca="false">IFERROR(__xludf.dummyfunction("""COMPUTED_VALUE"""),"COMP")</f>
        <v>COMP</v>
      </c>
      <c r="D67" s="321" t="str">
        <f aca="false">IFERROR(__xludf.dummyfunction("""COMPUTED_VALUE"""),"SE")</f>
        <v>SE</v>
      </c>
      <c r="E67" s="321" t="str">
        <f aca="false">IFERROR(__xludf.dummyfunction("""COMPUTED_VALUE"""),"")</f>
        <v/>
      </c>
      <c r="F67" s="321" t="n">
        <f aca="false">IFERROR(__xludf.dummyfunction("""COMPUTED_VALUE"""),1821081)</f>
        <v>1821081</v>
      </c>
      <c r="G67" s="321" t="str">
        <f aca="false">IFERROR(__xludf.dummyfunction("""COMPUTED_VALUE"""),"Ms.")</f>
        <v>Ms.</v>
      </c>
      <c r="H67" s="322" t="str">
        <f aca="false">IFERROR(__xludf.dummyfunction("""COMPUTED_VALUE"""),"Jagtap Chaitrali Kashinaath")</f>
        <v>Jagtap Chaitrali Kashinaath</v>
      </c>
      <c r="I67" s="321" t="str">
        <f aca="false">IFERROR(__xludf.dummyfunction("""COMPUTED_VALUE"""),"")</f>
        <v/>
      </c>
      <c r="J67" s="322" t="str">
        <f aca="false">IFERROR(__xludf.dummyfunction("""COMPUTED_VALUE"""),"Jagtap")</f>
        <v>Jagtap</v>
      </c>
      <c r="K67" s="322" t="str">
        <f aca="false">IFERROR(__xludf.dummyfunction("""COMPUTED_VALUE"""),"Chaitrali")</f>
        <v>Chaitrali</v>
      </c>
      <c r="L67" s="322" t="str">
        <f aca="false">IFERROR(__xludf.dummyfunction("""COMPUTED_VALUE"""),"Kashinaath")</f>
        <v>Kashinaath</v>
      </c>
      <c r="M67" s="322" t="str">
        <f aca="false">IFERROR(__xludf.dummyfunction("""COMPUTED_VALUE"""),"Jagtap Chaitrali Kashinaath")</f>
        <v>Jagtap Chaitrali Kashinaath</v>
      </c>
      <c r="N67" s="322" t="str">
        <f aca="false">IFERROR(__xludf.dummyfunction("""COMPUTED_VALUE"""),"Jagtap Chaitrali K.")</f>
        <v>Jagtap Chaitrali K.</v>
      </c>
      <c r="O67" s="322" t="str">
        <f aca="false">IFERROR(__xludf.dummyfunction("""COMPUTED_VALUE"""),"Jagtap C. K.")</f>
        <v>Jagtap C. K.</v>
      </c>
      <c r="P67" s="321" t="str">
        <f aca="false">IFERROR(__xludf.dummyfunction("""COMPUTED_VALUE"""),"REG")</f>
        <v>REG</v>
      </c>
      <c r="Q67" s="322" t="str">
        <f aca="false">IFERROR(__xludf.dummyfunction("""COMPUTED_VALUE"""),"")</f>
        <v/>
      </c>
      <c r="R67" s="322" t="str">
        <f aca="false">IFERROR(__xludf.dummyfunction("""COMPUTED_VALUE"""),"")</f>
        <v/>
      </c>
      <c r="S67" s="322" t="str">
        <f aca="false">IFERROR(__xludf.dummyfunction("""COMPUTED_VALUE"""),"")</f>
        <v/>
      </c>
      <c r="T67" s="321" t="str">
        <f aca="false">IFERROR(__xludf.dummyfunction("""COMPUTED_VALUE"""),"OPEN")</f>
        <v>OPEN</v>
      </c>
      <c r="U67" s="321" t="str">
        <f aca="false">IFERROR(__xludf.dummyfunction("""COMPUTED_VALUE"""),"F")</f>
        <v>F</v>
      </c>
      <c r="V67" s="321" t="n">
        <f aca="false">IFERROR(__xludf.dummyfunction("""COMPUTED_VALUE"""),2018)</f>
        <v>2018</v>
      </c>
      <c r="W67" s="322" t="str">
        <f aca="false">IFERROR(__xludf.dummyfunction("""COMPUTED_VALUE"""),"A/P Karkhel, Tal-Baramati, Dist-Pune, Pin- 413102.")</f>
        <v>A/P Karkhel, Tal-Baramati, Dist-Pune, Pin- 413102.</v>
      </c>
      <c r="X67" s="321" t="n">
        <f aca="false">IFERROR(__xludf.dummyfunction("""COMPUTED_VALUE"""),9970068470)</f>
        <v>9970068470</v>
      </c>
      <c r="Y67" s="321" t="n">
        <f aca="false">IFERROR(__xludf.dummyfunction("""COMPUTED_VALUE"""),7218091195)</f>
        <v>7218091195</v>
      </c>
      <c r="Z67" s="175"/>
      <c r="AA67" s="175"/>
      <c r="AB67" s="175"/>
      <c r="AC67" s="175"/>
      <c r="AD67" s="175"/>
      <c r="AE67" s="175"/>
      <c r="AF67" s="175"/>
      <c r="AG67" s="175"/>
      <c r="AH67" s="175"/>
      <c r="AI67" s="175"/>
      <c r="AJ67" s="175"/>
    </row>
    <row r="68" customFormat="false" ht="15.75" hidden="false" customHeight="true" outlineLevel="0" collapsed="false">
      <c r="A68" s="80" t="n">
        <v>63</v>
      </c>
      <c r="B68" s="323" t="n">
        <f aca="false">IFERROR(__xludf.dummyfunction("""COMPUTED_VALUE"""),935)</f>
        <v>935</v>
      </c>
      <c r="C68" s="321" t="str">
        <f aca="false">IFERROR(__xludf.dummyfunction("""COMPUTED_VALUE"""),"COMP")</f>
        <v>COMP</v>
      </c>
      <c r="D68" s="321" t="str">
        <f aca="false">IFERROR(__xludf.dummyfunction("""COMPUTED_VALUE"""),"SE")</f>
        <v>SE</v>
      </c>
      <c r="E68" s="321" t="str">
        <f aca="false">IFERROR(__xludf.dummyfunction("""COMPUTED_VALUE"""),"")</f>
        <v/>
      </c>
      <c r="F68" s="321" t="n">
        <f aca="false">IFERROR(__xludf.dummyfunction("""COMPUTED_VALUE"""),1821082)</f>
        <v>1821082</v>
      </c>
      <c r="G68" s="321" t="str">
        <f aca="false">IFERROR(__xludf.dummyfunction("""COMPUTED_VALUE"""),"Ms.")</f>
        <v>Ms.</v>
      </c>
      <c r="H68" s="322" t="str">
        <f aca="false">IFERROR(__xludf.dummyfunction("""COMPUTED_VALUE"""),"Jagtap Dipti Dattatray")</f>
        <v>Jagtap Dipti Dattatray</v>
      </c>
      <c r="I68" s="321" t="str">
        <f aca="false">IFERROR(__xludf.dummyfunction("""COMPUTED_VALUE"""),"")</f>
        <v/>
      </c>
      <c r="J68" s="322" t="str">
        <f aca="false">IFERROR(__xludf.dummyfunction("""COMPUTED_VALUE"""),"Jagtap")</f>
        <v>Jagtap</v>
      </c>
      <c r="K68" s="322" t="str">
        <f aca="false">IFERROR(__xludf.dummyfunction("""COMPUTED_VALUE"""),"Dipti")</f>
        <v>Dipti</v>
      </c>
      <c r="L68" s="322" t="str">
        <f aca="false">IFERROR(__xludf.dummyfunction("""COMPUTED_VALUE"""),"Dattatray")</f>
        <v>Dattatray</v>
      </c>
      <c r="M68" s="322" t="str">
        <f aca="false">IFERROR(__xludf.dummyfunction("""COMPUTED_VALUE"""),"Jagtap Dipti Dattatray")</f>
        <v>Jagtap Dipti Dattatray</v>
      </c>
      <c r="N68" s="322" t="str">
        <f aca="false">IFERROR(__xludf.dummyfunction("""COMPUTED_VALUE"""),"Jagtap Dipti D.")</f>
        <v>Jagtap Dipti D.</v>
      </c>
      <c r="O68" s="322" t="str">
        <f aca="false">IFERROR(__xludf.dummyfunction("""COMPUTED_VALUE"""),"Jagtap D. D.")</f>
        <v>Jagtap D. D.</v>
      </c>
      <c r="P68" s="321" t="str">
        <f aca="false">IFERROR(__xludf.dummyfunction("""COMPUTED_VALUE"""),"REG")</f>
        <v>REG</v>
      </c>
      <c r="Q68" s="322" t="str">
        <f aca="false">IFERROR(__xludf.dummyfunction("""COMPUTED_VALUE"""),"")</f>
        <v/>
      </c>
      <c r="R68" s="322" t="str">
        <f aca="false">IFERROR(__xludf.dummyfunction("""COMPUTED_VALUE"""),"")</f>
        <v/>
      </c>
      <c r="S68" s="322" t="str">
        <f aca="false">IFERROR(__xludf.dummyfunction("""COMPUTED_VALUE"""),"")</f>
        <v/>
      </c>
      <c r="T68" s="321" t="str">
        <f aca="false">IFERROR(__xludf.dummyfunction("""COMPUTED_VALUE"""),"SC")</f>
        <v>SC</v>
      </c>
      <c r="U68" s="321" t="str">
        <f aca="false">IFERROR(__xludf.dummyfunction("""COMPUTED_VALUE"""),"F")</f>
        <v>F</v>
      </c>
      <c r="V68" s="321" t="n">
        <f aca="false">IFERROR(__xludf.dummyfunction("""COMPUTED_VALUE"""),2018)</f>
        <v>2018</v>
      </c>
      <c r="W68" s="322" t="str">
        <f aca="false">IFERROR(__xludf.dummyfunction("""COMPUTED_VALUE"""),"A/P Gokhali Tal - Phaltan Dist-Satara")</f>
        <v>A/P Gokhali Tal - Phaltan Dist-Satara</v>
      </c>
      <c r="X68" s="321" t="n">
        <f aca="false">IFERROR(__xludf.dummyfunction("""COMPUTED_VALUE"""),9860265139)</f>
        <v>9860265139</v>
      </c>
      <c r="Y68" s="321" t="n">
        <f aca="false">IFERROR(__xludf.dummyfunction("""COMPUTED_VALUE"""),8530611961)</f>
        <v>8530611961</v>
      </c>
      <c r="Z68" s="175"/>
      <c r="AA68" s="175"/>
      <c r="AB68" s="175"/>
      <c r="AC68" s="175"/>
      <c r="AD68" s="175"/>
      <c r="AE68" s="175"/>
      <c r="AF68" s="175"/>
      <c r="AG68" s="175"/>
      <c r="AH68" s="175"/>
      <c r="AI68" s="175"/>
      <c r="AJ68" s="175"/>
    </row>
    <row r="69" customFormat="false" ht="15.75" hidden="false" customHeight="true" outlineLevel="0" collapsed="false">
      <c r="A69" s="80" t="n">
        <v>64</v>
      </c>
      <c r="B69" s="323" t="n">
        <f aca="false">IFERROR(__xludf.dummyfunction("""COMPUTED_VALUE"""),936)</f>
        <v>936</v>
      </c>
      <c r="C69" s="321" t="str">
        <f aca="false">IFERROR(__xludf.dummyfunction("""COMPUTED_VALUE"""),"COMP")</f>
        <v>COMP</v>
      </c>
      <c r="D69" s="321" t="str">
        <f aca="false">IFERROR(__xludf.dummyfunction("""COMPUTED_VALUE"""),"SE")</f>
        <v>SE</v>
      </c>
      <c r="E69" s="321" t="str">
        <f aca="false">IFERROR(__xludf.dummyfunction("""COMPUTED_VALUE"""),"")</f>
        <v/>
      </c>
      <c r="F69" s="321" t="n">
        <f aca="false">IFERROR(__xludf.dummyfunction("""COMPUTED_VALUE"""),1821083)</f>
        <v>1821083</v>
      </c>
      <c r="G69" s="321" t="str">
        <f aca="false">IFERROR(__xludf.dummyfunction("""COMPUTED_VALUE"""),"Ms.")</f>
        <v>Ms.</v>
      </c>
      <c r="H69" s="322" t="str">
        <f aca="false">IFERROR(__xludf.dummyfunction("""COMPUTED_VALUE"""),"Jawale Divya Santosh")</f>
        <v>Jawale Divya Santosh</v>
      </c>
      <c r="I69" s="321" t="str">
        <f aca="false">IFERROR(__xludf.dummyfunction("""COMPUTED_VALUE"""),"")</f>
        <v/>
      </c>
      <c r="J69" s="322" t="str">
        <f aca="false">IFERROR(__xludf.dummyfunction("""COMPUTED_VALUE"""),"Jawale")</f>
        <v>Jawale</v>
      </c>
      <c r="K69" s="322" t="str">
        <f aca="false">IFERROR(__xludf.dummyfunction("""COMPUTED_VALUE"""),"Divya")</f>
        <v>Divya</v>
      </c>
      <c r="L69" s="322" t="str">
        <f aca="false">IFERROR(__xludf.dummyfunction("""COMPUTED_VALUE"""),"Santosh")</f>
        <v>Santosh</v>
      </c>
      <c r="M69" s="322" t="str">
        <f aca="false">IFERROR(__xludf.dummyfunction("""COMPUTED_VALUE"""),"Jawale Divya Santosh")</f>
        <v>Jawale Divya Santosh</v>
      </c>
      <c r="N69" s="322" t="str">
        <f aca="false">IFERROR(__xludf.dummyfunction("""COMPUTED_VALUE"""),"Jawale Divya S.")</f>
        <v>Jawale Divya S.</v>
      </c>
      <c r="O69" s="322" t="str">
        <f aca="false">IFERROR(__xludf.dummyfunction("""COMPUTED_VALUE"""),"Jawale D. S.")</f>
        <v>Jawale D. S.</v>
      </c>
      <c r="P69" s="321" t="str">
        <f aca="false">IFERROR(__xludf.dummyfunction("""COMPUTED_VALUE"""),"REG")</f>
        <v>REG</v>
      </c>
      <c r="Q69" s="322" t="str">
        <f aca="false">IFERROR(__xludf.dummyfunction("""COMPUTED_VALUE"""),"")</f>
        <v/>
      </c>
      <c r="R69" s="322" t="str">
        <f aca="false">IFERROR(__xludf.dummyfunction("""COMPUTED_VALUE"""),"")</f>
        <v/>
      </c>
      <c r="S69" s="322" t="str">
        <f aca="false">IFERROR(__xludf.dummyfunction("""COMPUTED_VALUE"""),"")</f>
        <v/>
      </c>
      <c r="T69" s="321" t="str">
        <f aca="false">IFERROR(__xludf.dummyfunction("""COMPUTED_VALUE"""),"SC")</f>
        <v>SC</v>
      </c>
      <c r="U69" s="321" t="str">
        <f aca="false">IFERROR(__xludf.dummyfunction("""COMPUTED_VALUE"""),"F")</f>
        <v>F</v>
      </c>
      <c r="V69" s="321" t="n">
        <f aca="false">IFERROR(__xludf.dummyfunction("""COMPUTED_VALUE"""),2018)</f>
        <v>2018</v>
      </c>
      <c r="W69" s="322" t="str">
        <f aca="false">IFERROR(__xludf.dummyfunction("""COMPUTED_VALUE"""),"Mohitevasti , Sangavi, Tal-Phaltan, Dist-Satara, Maharashtra. Pin 415523")</f>
        <v>Mohitevasti , Sangavi, Tal-Phaltan, Dist-Satara, Maharashtra. Pin 415523</v>
      </c>
      <c r="X69" s="321" t="n">
        <f aca="false">IFERROR(__xludf.dummyfunction("""COMPUTED_VALUE"""),9921585309)</f>
        <v>9921585309</v>
      </c>
      <c r="Y69" s="321" t="n">
        <f aca="false">IFERROR(__xludf.dummyfunction("""COMPUTED_VALUE"""),9673419210)</f>
        <v>9673419210</v>
      </c>
      <c r="Z69" s="175"/>
      <c r="AA69" s="175"/>
      <c r="AB69" s="175"/>
      <c r="AC69" s="175"/>
      <c r="AD69" s="175"/>
      <c r="AE69" s="175"/>
      <c r="AF69" s="175"/>
      <c r="AG69" s="175"/>
      <c r="AH69" s="175"/>
      <c r="AI69" s="175"/>
      <c r="AJ69" s="175"/>
    </row>
    <row r="70" customFormat="false" ht="15.75" hidden="false" customHeight="true" outlineLevel="0" collapsed="false">
      <c r="A70" s="80" t="n">
        <v>65</v>
      </c>
      <c r="B70" s="323" t="n">
        <f aca="false">IFERROR(__xludf.dummyfunction("""COMPUTED_VALUE"""),937)</f>
        <v>937</v>
      </c>
      <c r="C70" s="321" t="str">
        <f aca="false">IFERROR(__xludf.dummyfunction("""COMPUTED_VALUE"""),"COMP")</f>
        <v>COMP</v>
      </c>
      <c r="D70" s="321" t="str">
        <f aca="false">IFERROR(__xludf.dummyfunction("""COMPUTED_VALUE"""),"SE")</f>
        <v>SE</v>
      </c>
      <c r="E70" s="321" t="str">
        <f aca="false">IFERROR(__xludf.dummyfunction("""COMPUTED_VALUE"""),"")</f>
        <v/>
      </c>
      <c r="F70" s="321" t="n">
        <f aca="false">IFERROR(__xludf.dummyfunction("""COMPUTED_VALUE"""),1821084)</f>
        <v>1821084</v>
      </c>
      <c r="G70" s="321" t="str">
        <f aca="false">IFERROR(__xludf.dummyfunction("""COMPUTED_VALUE"""),"Ms.")</f>
        <v>Ms.</v>
      </c>
      <c r="H70" s="322" t="str">
        <f aca="false">IFERROR(__xludf.dummyfunction("""COMPUTED_VALUE"""),"Kale Bhagyashri Subhash")</f>
        <v>Kale Bhagyashri Subhash</v>
      </c>
      <c r="I70" s="321" t="str">
        <f aca="false">IFERROR(__xludf.dummyfunction("""COMPUTED_VALUE"""),"")</f>
        <v/>
      </c>
      <c r="J70" s="322" t="str">
        <f aca="false">IFERROR(__xludf.dummyfunction("""COMPUTED_VALUE"""),"Kale")</f>
        <v>Kale</v>
      </c>
      <c r="K70" s="322" t="str">
        <f aca="false">IFERROR(__xludf.dummyfunction("""COMPUTED_VALUE"""),"Bhagyashri")</f>
        <v>Bhagyashri</v>
      </c>
      <c r="L70" s="322" t="str">
        <f aca="false">IFERROR(__xludf.dummyfunction("""COMPUTED_VALUE"""),"Subhash")</f>
        <v>Subhash</v>
      </c>
      <c r="M70" s="322" t="str">
        <f aca="false">IFERROR(__xludf.dummyfunction("""COMPUTED_VALUE"""),"Kale Bhagyashri Subhash")</f>
        <v>Kale Bhagyashri Subhash</v>
      </c>
      <c r="N70" s="322" t="str">
        <f aca="false">IFERROR(__xludf.dummyfunction("""COMPUTED_VALUE"""),"Kale Bhagyashri S.")</f>
        <v>Kale Bhagyashri S.</v>
      </c>
      <c r="O70" s="322" t="str">
        <f aca="false">IFERROR(__xludf.dummyfunction("""COMPUTED_VALUE"""),"Kale B. S.")</f>
        <v>Kale B. S.</v>
      </c>
      <c r="P70" s="321" t="str">
        <f aca="false">IFERROR(__xludf.dummyfunction("""COMPUTED_VALUE"""),"REG")</f>
        <v>REG</v>
      </c>
      <c r="Q70" s="322" t="str">
        <f aca="false">IFERROR(__xludf.dummyfunction("""COMPUTED_VALUE"""),"")</f>
        <v/>
      </c>
      <c r="R70" s="322" t="str">
        <f aca="false">IFERROR(__xludf.dummyfunction("""COMPUTED_VALUE"""),"")</f>
        <v/>
      </c>
      <c r="S70" s="322" t="str">
        <f aca="false">IFERROR(__xludf.dummyfunction("""COMPUTED_VALUE"""),"")</f>
        <v/>
      </c>
      <c r="T70" s="321" t="str">
        <f aca="false">IFERROR(__xludf.dummyfunction("""COMPUTED_VALUE"""),"OBC")</f>
        <v>OBC</v>
      </c>
      <c r="U70" s="321" t="str">
        <f aca="false">IFERROR(__xludf.dummyfunction("""COMPUTED_VALUE"""),"F")</f>
        <v>F</v>
      </c>
      <c r="V70" s="321" t="n">
        <f aca="false">IFERROR(__xludf.dummyfunction("""COMPUTED_VALUE"""),2018)</f>
        <v>2018</v>
      </c>
      <c r="W70" s="322" t="str">
        <f aca="false">IFERROR(__xludf.dummyfunction("""COMPUTED_VALUE"""),"At-Torkadwadi,Post-Rashin,Tal-Karjat,Dist-Ahmadnagar")</f>
        <v>At-Torkadwadi,Post-Rashin,Tal-Karjat,Dist-Ahmadnagar</v>
      </c>
      <c r="X70" s="321" t="n">
        <f aca="false">IFERROR(__xludf.dummyfunction("""COMPUTED_VALUE"""),8975912172)</f>
        <v>8975912172</v>
      </c>
      <c r="Y70" s="321" t="n">
        <f aca="false">IFERROR(__xludf.dummyfunction("""COMPUTED_VALUE"""),7447595002)</f>
        <v>7447595002</v>
      </c>
      <c r="Z70" s="175"/>
      <c r="AA70" s="175"/>
      <c r="AB70" s="175"/>
      <c r="AC70" s="175"/>
      <c r="AD70" s="175"/>
      <c r="AE70" s="175"/>
      <c r="AF70" s="175"/>
      <c r="AG70" s="175"/>
      <c r="AH70" s="175"/>
      <c r="AI70" s="175"/>
      <c r="AJ70" s="175"/>
    </row>
    <row r="71" customFormat="false" ht="15.75" hidden="false" customHeight="true" outlineLevel="0" collapsed="false">
      <c r="A71" s="80" t="n">
        <v>66</v>
      </c>
      <c r="B71" s="323" t="n">
        <f aca="false">IFERROR(__xludf.dummyfunction("""COMPUTED_VALUE"""),938)</f>
        <v>938</v>
      </c>
      <c r="C71" s="321" t="str">
        <f aca="false">IFERROR(__xludf.dummyfunction("""COMPUTED_VALUE"""),"COMP")</f>
        <v>COMP</v>
      </c>
      <c r="D71" s="321" t="str">
        <f aca="false">IFERROR(__xludf.dummyfunction("""COMPUTED_VALUE"""),"SE")</f>
        <v>SE</v>
      </c>
      <c r="E71" s="321" t="str">
        <f aca="false">IFERROR(__xludf.dummyfunction("""COMPUTED_VALUE"""),"")</f>
        <v/>
      </c>
      <c r="F71" s="321" t="n">
        <f aca="false">IFERROR(__xludf.dummyfunction("""COMPUTED_VALUE"""),1821085)</f>
        <v>1821085</v>
      </c>
      <c r="G71" s="321" t="str">
        <f aca="false">IFERROR(__xludf.dummyfunction("""COMPUTED_VALUE"""),"Ms.")</f>
        <v>Ms.</v>
      </c>
      <c r="H71" s="322" t="str">
        <f aca="false">IFERROR(__xludf.dummyfunction("""COMPUTED_VALUE"""),"Mahamuni Ashlesha Pradip")</f>
        <v>Mahamuni Ashlesha Pradip</v>
      </c>
      <c r="I71" s="321" t="str">
        <f aca="false">IFERROR(__xludf.dummyfunction("""COMPUTED_VALUE"""),"")</f>
        <v/>
      </c>
      <c r="J71" s="322" t="str">
        <f aca="false">IFERROR(__xludf.dummyfunction("""COMPUTED_VALUE"""),"Mahamuni")</f>
        <v>Mahamuni</v>
      </c>
      <c r="K71" s="322" t="str">
        <f aca="false">IFERROR(__xludf.dummyfunction("""COMPUTED_VALUE"""),"Ashlesha")</f>
        <v>Ashlesha</v>
      </c>
      <c r="L71" s="322" t="str">
        <f aca="false">IFERROR(__xludf.dummyfunction("""COMPUTED_VALUE"""),"Pradip")</f>
        <v>Pradip</v>
      </c>
      <c r="M71" s="322" t="str">
        <f aca="false">IFERROR(__xludf.dummyfunction("""COMPUTED_VALUE"""),"Mahamuni Ashlesha Pradip")</f>
        <v>Mahamuni Ashlesha Pradip</v>
      </c>
      <c r="N71" s="322" t="str">
        <f aca="false">IFERROR(__xludf.dummyfunction("""COMPUTED_VALUE"""),"Mahamuni Ashlesha P.")</f>
        <v>Mahamuni Ashlesha P.</v>
      </c>
      <c r="O71" s="322" t="str">
        <f aca="false">IFERROR(__xludf.dummyfunction("""COMPUTED_VALUE"""),"Mahamuni A. P.")</f>
        <v>Mahamuni A. P.</v>
      </c>
      <c r="P71" s="321" t="str">
        <f aca="false">IFERROR(__xludf.dummyfunction("""COMPUTED_VALUE"""),"REG")</f>
        <v>REG</v>
      </c>
      <c r="Q71" s="322" t="str">
        <f aca="false">IFERROR(__xludf.dummyfunction("""COMPUTED_VALUE"""),"")</f>
        <v/>
      </c>
      <c r="R71" s="322" t="str">
        <f aca="false">IFERROR(__xludf.dummyfunction("""COMPUTED_VALUE"""),"")</f>
        <v/>
      </c>
      <c r="S71" s="322" t="str">
        <f aca="false">IFERROR(__xludf.dummyfunction("""COMPUTED_VALUE"""),"")</f>
        <v/>
      </c>
      <c r="T71" s="321" t="str">
        <f aca="false">IFERROR(__xludf.dummyfunction("""COMPUTED_VALUE"""),"OBC")</f>
        <v>OBC</v>
      </c>
      <c r="U71" s="321" t="str">
        <f aca="false">IFERROR(__xludf.dummyfunction("""COMPUTED_VALUE"""),"F")</f>
        <v>F</v>
      </c>
      <c r="V71" s="321" t="n">
        <f aca="false">IFERROR(__xludf.dummyfunction("""COMPUTED_VALUE"""),2018)</f>
        <v>2018</v>
      </c>
      <c r="W71" s="322" t="str">
        <f aca="false">IFERROR(__xludf.dummyfunction("""COMPUTED_VALUE"""),"A/P- Ghadagewadi, Tal-Baramati, Dist- Pune")</f>
        <v>A/P- Ghadagewadi, Tal-Baramati, Dist- Pune</v>
      </c>
      <c r="X71" s="321" t="n">
        <f aca="false">IFERROR(__xludf.dummyfunction("""COMPUTED_VALUE"""),9011537885)</f>
        <v>9011537885</v>
      </c>
      <c r="Y71" s="321" t="n">
        <f aca="false">IFERROR(__xludf.dummyfunction("""COMPUTED_VALUE"""),7517736344)</f>
        <v>7517736344</v>
      </c>
      <c r="Z71" s="175"/>
      <c r="AA71" s="175"/>
      <c r="AB71" s="175"/>
      <c r="AC71" s="175"/>
      <c r="AD71" s="175"/>
      <c r="AE71" s="175"/>
      <c r="AF71" s="175"/>
      <c r="AG71" s="175"/>
      <c r="AH71" s="175"/>
      <c r="AI71" s="175"/>
      <c r="AJ71" s="175"/>
    </row>
    <row r="72" customFormat="false" ht="15.75" hidden="false" customHeight="true" outlineLevel="0" collapsed="false">
      <c r="A72" s="80" t="n">
        <v>67</v>
      </c>
      <c r="B72" s="323" t="str">
        <f aca="false">IFERROR(__xludf.dummyfunction("""COMPUTED_VALUE"""),"")</f>
        <v/>
      </c>
      <c r="C72" s="321" t="str">
        <f aca="false">IFERROR(__xludf.dummyfunction("""COMPUTED_VALUE"""),"")</f>
        <v/>
      </c>
      <c r="D72" s="321" t="str">
        <f aca="false">IFERROR(__xludf.dummyfunction("""COMPUTED_VALUE"""),"")</f>
        <v/>
      </c>
      <c r="E72" s="321" t="str">
        <f aca="false">IFERROR(__xludf.dummyfunction("""COMPUTED_VALUE"""),"")</f>
        <v/>
      </c>
      <c r="F72" s="321" t="str">
        <f aca="false">IFERROR(__xludf.dummyfunction("""COMPUTED_VALUE"""),"")</f>
        <v/>
      </c>
      <c r="G72" s="321" t="str">
        <f aca="false">IFERROR(__xludf.dummyfunction("""COMPUTED_VALUE"""),"")</f>
        <v/>
      </c>
      <c r="H72" s="322" t="str">
        <f aca="false">IFERROR(__xludf.dummyfunction("""COMPUTED_VALUE"""),"")</f>
        <v/>
      </c>
      <c r="I72" s="321" t="str">
        <f aca="false">IFERROR(__xludf.dummyfunction("""COMPUTED_VALUE"""),"")</f>
        <v/>
      </c>
      <c r="J72" s="322" t="str">
        <f aca="false">IFERROR(__xludf.dummyfunction("""COMPUTED_VALUE"""),"")</f>
        <v/>
      </c>
      <c r="K72" s="322" t="str">
        <f aca="false">IFERROR(__xludf.dummyfunction("""COMPUTED_VALUE"""),"")</f>
        <v/>
      </c>
      <c r="L72" s="322" t="str">
        <f aca="false">IFERROR(__xludf.dummyfunction("""COMPUTED_VALUE"""),"")</f>
        <v/>
      </c>
      <c r="M72" s="322" t="str">
        <f aca="false">IFERROR(__xludf.dummyfunction("""COMPUTED_VALUE"""),"")</f>
        <v/>
      </c>
      <c r="N72" s="322" t="str">
        <f aca="false">IFERROR(__xludf.dummyfunction("""COMPUTED_VALUE"""),"")</f>
        <v/>
      </c>
      <c r="O72" s="322" t="str">
        <f aca="false">IFERROR(__xludf.dummyfunction("""COMPUTED_VALUE"""),"")</f>
        <v/>
      </c>
      <c r="P72" s="321" t="str">
        <f aca="false">IFERROR(__xludf.dummyfunction("""COMPUTED_VALUE"""),"")</f>
        <v/>
      </c>
      <c r="Q72" s="322" t="str">
        <f aca="false">IFERROR(__xludf.dummyfunction("""COMPUTED_VALUE"""),"")</f>
        <v/>
      </c>
      <c r="R72" s="322" t="str">
        <f aca="false">IFERROR(__xludf.dummyfunction("""COMPUTED_VALUE"""),"")</f>
        <v/>
      </c>
      <c r="S72" s="322" t="str">
        <f aca="false">IFERROR(__xludf.dummyfunction("""COMPUTED_VALUE"""),"")</f>
        <v/>
      </c>
      <c r="T72" s="321" t="str">
        <f aca="false">IFERROR(__xludf.dummyfunction("""COMPUTED_VALUE"""),"")</f>
        <v/>
      </c>
      <c r="U72" s="321" t="str">
        <f aca="false">IFERROR(__xludf.dummyfunction("""COMPUTED_VALUE"""),"")</f>
        <v/>
      </c>
      <c r="V72" s="321" t="str">
        <f aca="false">IFERROR(__xludf.dummyfunction("""COMPUTED_VALUE"""),"")</f>
        <v/>
      </c>
      <c r="W72" s="322" t="str">
        <f aca="false">IFERROR(__xludf.dummyfunction("""COMPUTED_VALUE"""),"")</f>
        <v/>
      </c>
      <c r="X72" s="321" t="str">
        <f aca="false">IFERROR(__xludf.dummyfunction("""COMPUTED_VALUE"""),"")</f>
        <v/>
      </c>
      <c r="Y72" s="321" t="str">
        <f aca="false">IFERROR(__xludf.dummyfunction("""COMPUTED_VALUE"""),"")</f>
        <v/>
      </c>
      <c r="Z72" s="175"/>
      <c r="AA72" s="175"/>
      <c r="AB72" s="175"/>
      <c r="AC72" s="175"/>
      <c r="AD72" s="175"/>
      <c r="AE72" s="175"/>
      <c r="AF72" s="175"/>
      <c r="AG72" s="175"/>
      <c r="AH72" s="175"/>
      <c r="AI72" s="175"/>
      <c r="AJ72" s="175"/>
    </row>
    <row r="73" customFormat="false" ht="15.75" hidden="false" customHeight="true" outlineLevel="0" collapsed="false">
      <c r="A73" s="80" t="n">
        <v>68</v>
      </c>
      <c r="B73" s="323" t="str">
        <f aca="false">IFERROR(__xludf.dummyfunction("""COMPUTED_VALUE"""),"")</f>
        <v/>
      </c>
      <c r="C73" s="321" t="str">
        <f aca="false">IFERROR(__xludf.dummyfunction("""COMPUTED_VALUE"""),"")</f>
        <v/>
      </c>
      <c r="D73" s="321" t="str">
        <f aca="false">IFERROR(__xludf.dummyfunction("""COMPUTED_VALUE"""),"")</f>
        <v/>
      </c>
      <c r="E73" s="321" t="str">
        <f aca="false">IFERROR(__xludf.dummyfunction("""COMPUTED_VALUE"""),"")</f>
        <v/>
      </c>
      <c r="F73" s="321" t="str">
        <f aca="false">IFERROR(__xludf.dummyfunction("""COMPUTED_VALUE"""),"")</f>
        <v/>
      </c>
      <c r="G73" s="321" t="str">
        <f aca="false">IFERROR(__xludf.dummyfunction("""COMPUTED_VALUE"""),"")</f>
        <v/>
      </c>
      <c r="H73" s="322" t="str">
        <f aca="false">IFERROR(__xludf.dummyfunction("""COMPUTED_VALUE"""),"")</f>
        <v/>
      </c>
      <c r="I73" s="321" t="str">
        <f aca="false">IFERROR(__xludf.dummyfunction("""COMPUTED_VALUE"""),"")</f>
        <v/>
      </c>
      <c r="J73" s="322" t="str">
        <f aca="false">IFERROR(__xludf.dummyfunction("""COMPUTED_VALUE"""),"")</f>
        <v/>
      </c>
      <c r="K73" s="322" t="str">
        <f aca="false">IFERROR(__xludf.dummyfunction("""COMPUTED_VALUE"""),"")</f>
        <v/>
      </c>
      <c r="L73" s="322" t="str">
        <f aca="false">IFERROR(__xludf.dummyfunction("""COMPUTED_VALUE"""),"")</f>
        <v/>
      </c>
      <c r="M73" s="322" t="str">
        <f aca="false">IFERROR(__xludf.dummyfunction("""COMPUTED_VALUE"""),"")</f>
        <v/>
      </c>
      <c r="N73" s="322" t="str">
        <f aca="false">IFERROR(__xludf.dummyfunction("""COMPUTED_VALUE"""),"")</f>
        <v/>
      </c>
      <c r="O73" s="322" t="str">
        <f aca="false">IFERROR(__xludf.dummyfunction("""COMPUTED_VALUE"""),"")</f>
        <v/>
      </c>
      <c r="P73" s="321" t="str">
        <f aca="false">IFERROR(__xludf.dummyfunction("""COMPUTED_VALUE"""),"")</f>
        <v/>
      </c>
      <c r="Q73" s="322" t="str">
        <f aca="false">IFERROR(__xludf.dummyfunction("""COMPUTED_VALUE"""),"")</f>
        <v/>
      </c>
      <c r="R73" s="322" t="str">
        <f aca="false">IFERROR(__xludf.dummyfunction("""COMPUTED_VALUE"""),"")</f>
        <v/>
      </c>
      <c r="S73" s="322" t="str">
        <f aca="false">IFERROR(__xludf.dummyfunction("""COMPUTED_VALUE"""),"")</f>
        <v/>
      </c>
      <c r="T73" s="321" t="str">
        <f aca="false">IFERROR(__xludf.dummyfunction("""COMPUTED_VALUE"""),"")</f>
        <v/>
      </c>
      <c r="U73" s="321" t="str">
        <f aca="false">IFERROR(__xludf.dummyfunction("""COMPUTED_VALUE"""),"")</f>
        <v/>
      </c>
      <c r="V73" s="321" t="str">
        <f aca="false">IFERROR(__xludf.dummyfunction("""COMPUTED_VALUE"""),"")</f>
        <v/>
      </c>
      <c r="W73" s="322" t="str">
        <f aca="false">IFERROR(__xludf.dummyfunction("""COMPUTED_VALUE"""),"")</f>
        <v/>
      </c>
      <c r="X73" s="321" t="str">
        <f aca="false">IFERROR(__xludf.dummyfunction("""COMPUTED_VALUE"""),"")</f>
        <v/>
      </c>
      <c r="Y73" s="321" t="str">
        <f aca="false">IFERROR(__xludf.dummyfunction("""COMPUTED_VALUE"""),"")</f>
        <v/>
      </c>
      <c r="Z73" s="175"/>
      <c r="AA73" s="175"/>
      <c r="AB73" s="175"/>
      <c r="AC73" s="175"/>
      <c r="AD73" s="175"/>
      <c r="AE73" s="175"/>
      <c r="AF73" s="175"/>
      <c r="AG73" s="175"/>
      <c r="AH73" s="175"/>
      <c r="AI73" s="175"/>
      <c r="AJ73" s="175"/>
    </row>
    <row r="74" customFormat="false" ht="15.75" hidden="false" customHeight="true" outlineLevel="0" collapsed="false">
      <c r="A74" s="80" t="n">
        <v>69</v>
      </c>
      <c r="B74" s="323" t="str">
        <f aca="false">IFERROR(__xludf.dummyfunction("""COMPUTED_VALUE"""),"")</f>
        <v/>
      </c>
      <c r="C74" s="321" t="str">
        <f aca="false">IFERROR(__xludf.dummyfunction("""COMPUTED_VALUE"""),"")</f>
        <v/>
      </c>
      <c r="D74" s="321" t="str">
        <f aca="false">IFERROR(__xludf.dummyfunction("""COMPUTED_VALUE"""),"")</f>
        <v/>
      </c>
      <c r="E74" s="321" t="str">
        <f aca="false">IFERROR(__xludf.dummyfunction("""COMPUTED_VALUE"""),"")</f>
        <v/>
      </c>
      <c r="F74" s="321" t="str">
        <f aca="false">IFERROR(__xludf.dummyfunction("""COMPUTED_VALUE"""),"")</f>
        <v/>
      </c>
      <c r="G74" s="321" t="str">
        <f aca="false">IFERROR(__xludf.dummyfunction("""COMPUTED_VALUE"""),"")</f>
        <v/>
      </c>
      <c r="H74" s="322" t="str">
        <f aca="false">IFERROR(__xludf.dummyfunction("""COMPUTED_VALUE"""),"")</f>
        <v/>
      </c>
      <c r="I74" s="321" t="str">
        <f aca="false">IFERROR(__xludf.dummyfunction("""COMPUTED_VALUE"""),"")</f>
        <v/>
      </c>
      <c r="J74" s="322" t="str">
        <f aca="false">IFERROR(__xludf.dummyfunction("""COMPUTED_VALUE"""),"")</f>
        <v/>
      </c>
      <c r="K74" s="322" t="str">
        <f aca="false">IFERROR(__xludf.dummyfunction("""COMPUTED_VALUE"""),"")</f>
        <v/>
      </c>
      <c r="L74" s="322" t="str">
        <f aca="false">IFERROR(__xludf.dummyfunction("""COMPUTED_VALUE"""),"")</f>
        <v/>
      </c>
      <c r="M74" s="322" t="str">
        <f aca="false">IFERROR(__xludf.dummyfunction("""COMPUTED_VALUE"""),"")</f>
        <v/>
      </c>
      <c r="N74" s="322" t="str">
        <f aca="false">IFERROR(__xludf.dummyfunction("""COMPUTED_VALUE"""),"")</f>
        <v/>
      </c>
      <c r="O74" s="322" t="str">
        <f aca="false">IFERROR(__xludf.dummyfunction("""COMPUTED_VALUE"""),"")</f>
        <v/>
      </c>
      <c r="P74" s="321" t="str">
        <f aca="false">IFERROR(__xludf.dummyfunction("""COMPUTED_VALUE"""),"")</f>
        <v/>
      </c>
      <c r="Q74" s="322" t="str">
        <f aca="false">IFERROR(__xludf.dummyfunction("""COMPUTED_VALUE"""),"")</f>
        <v/>
      </c>
      <c r="R74" s="322" t="str">
        <f aca="false">IFERROR(__xludf.dummyfunction("""COMPUTED_VALUE"""),"")</f>
        <v/>
      </c>
      <c r="S74" s="322" t="str">
        <f aca="false">IFERROR(__xludf.dummyfunction("""COMPUTED_VALUE"""),"")</f>
        <v/>
      </c>
      <c r="T74" s="321" t="str">
        <f aca="false">IFERROR(__xludf.dummyfunction("""COMPUTED_VALUE"""),"")</f>
        <v/>
      </c>
      <c r="U74" s="321" t="str">
        <f aca="false">IFERROR(__xludf.dummyfunction("""COMPUTED_VALUE"""),"")</f>
        <v/>
      </c>
      <c r="V74" s="321" t="str">
        <f aca="false">IFERROR(__xludf.dummyfunction("""COMPUTED_VALUE"""),"")</f>
        <v/>
      </c>
      <c r="W74" s="322" t="str">
        <f aca="false">IFERROR(__xludf.dummyfunction("""COMPUTED_VALUE"""),"")</f>
        <v/>
      </c>
      <c r="X74" s="321" t="str">
        <f aca="false">IFERROR(__xludf.dummyfunction("""COMPUTED_VALUE"""),"")</f>
        <v/>
      </c>
      <c r="Y74" s="321" t="str">
        <f aca="false">IFERROR(__xludf.dummyfunction("""COMPUTED_VALUE"""),"")</f>
        <v/>
      </c>
      <c r="Z74" s="175"/>
      <c r="AA74" s="175"/>
      <c r="AB74" s="175"/>
      <c r="AC74" s="175"/>
      <c r="AD74" s="175"/>
      <c r="AE74" s="175"/>
      <c r="AF74" s="175"/>
      <c r="AG74" s="175"/>
      <c r="AH74" s="175"/>
      <c r="AI74" s="175"/>
      <c r="AJ74" s="175"/>
    </row>
    <row r="75" customFormat="false" ht="15.75" hidden="false" customHeight="true" outlineLevel="0" collapsed="false">
      <c r="A75" s="80" t="n">
        <v>70</v>
      </c>
      <c r="B75" s="323" t="str">
        <f aca="false">IFERROR(__xludf.dummyfunction("""COMPUTED_VALUE"""),"")</f>
        <v/>
      </c>
      <c r="C75" s="321" t="str">
        <f aca="false">IFERROR(__xludf.dummyfunction("""COMPUTED_VALUE"""),"")</f>
        <v/>
      </c>
      <c r="D75" s="321" t="str">
        <f aca="false">IFERROR(__xludf.dummyfunction("""COMPUTED_VALUE"""),"")</f>
        <v/>
      </c>
      <c r="E75" s="321" t="str">
        <f aca="false">IFERROR(__xludf.dummyfunction("""COMPUTED_VALUE"""),"")</f>
        <v/>
      </c>
      <c r="F75" s="321" t="str">
        <f aca="false">IFERROR(__xludf.dummyfunction("""COMPUTED_VALUE"""),"")</f>
        <v/>
      </c>
      <c r="G75" s="321" t="str">
        <f aca="false">IFERROR(__xludf.dummyfunction("""COMPUTED_VALUE"""),"")</f>
        <v/>
      </c>
      <c r="H75" s="322" t="str">
        <f aca="false">IFERROR(__xludf.dummyfunction("""COMPUTED_VALUE"""),"")</f>
        <v/>
      </c>
      <c r="I75" s="321" t="str">
        <f aca="false">IFERROR(__xludf.dummyfunction("""COMPUTED_VALUE"""),"")</f>
        <v/>
      </c>
      <c r="J75" s="322" t="str">
        <f aca="false">IFERROR(__xludf.dummyfunction("""COMPUTED_VALUE"""),"")</f>
        <v/>
      </c>
      <c r="K75" s="322" t="str">
        <f aca="false">IFERROR(__xludf.dummyfunction("""COMPUTED_VALUE"""),"")</f>
        <v/>
      </c>
      <c r="L75" s="322" t="str">
        <f aca="false">IFERROR(__xludf.dummyfunction("""COMPUTED_VALUE"""),"")</f>
        <v/>
      </c>
      <c r="M75" s="322" t="str">
        <f aca="false">IFERROR(__xludf.dummyfunction("""COMPUTED_VALUE"""),"")</f>
        <v/>
      </c>
      <c r="N75" s="322" t="str">
        <f aca="false">IFERROR(__xludf.dummyfunction("""COMPUTED_VALUE"""),"")</f>
        <v/>
      </c>
      <c r="O75" s="322" t="str">
        <f aca="false">IFERROR(__xludf.dummyfunction("""COMPUTED_VALUE"""),"")</f>
        <v/>
      </c>
      <c r="P75" s="321" t="str">
        <f aca="false">IFERROR(__xludf.dummyfunction("""COMPUTED_VALUE"""),"")</f>
        <v/>
      </c>
      <c r="Q75" s="322" t="str">
        <f aca="false">IFERROR(__xludf.dummyfunction("""COMPUTED_VALUE"""),"")</f>
        <v/>
      </c>
      <c r="R75" s="322" t="str">
        <f aca="false">IFERROR(__xludf.dummyfunction("""COMPUTED_VALUE"""),"")</f>
        <v/>
      </c>
      <c r="S75" s="322" t="str">
        <f aca="false">IFERROR(__xludf.dummyfunction("""COMPUTED_VALUE"""),"")</f>
        <v/>
      </c>
      <c r="T75" s="321" t="str">
        <f aca="false">IFERROR(__xludf.dummyfunction("""COMPUTED_VALUE"""),"")</f>
        <v/>
      </c>
      <c r="U75" s="321" t="str">
        <f aca="false">IFERROR(__xludf.dummyfunction("""COMPUTED_VALUE"""),"")</f>
        <v/>
      </c>
      <c r="V75" s="321" t="str">
        <f aca="false">IFERROR(__xludf.dummyfunction("""COMPUTED_VALUE"""),"")</f>
        <v/>
      </c>
      <c r="W75" s="322" t="str">
        <f aca="false">IFERROR(__xludf.dummyfunction("""COMPUTED_VALUE"""),"")</f>
        <v/>
      </c>
      <c r="X75" s="321" t="str">
        <f aca="false">IFERROR(__xludf.dummyfunction("""COMPUTED_VALUE"""),"")</f>
        <v/>
      </c>
      <c r="Y75" s="321" t="str">
        <f aca="false">IFERROR(__xludf.dummyfunction("""COMPUTED_VALUE"""),"")</f>
        <v/>
      </c>
      <c r="Z75" s="175"/>
      <c r="AA75" s="175"/>
      <c r="AB75" s="175"/>
      <c r="AC75" s="175"/>
      <c r="AD75" s="175"/>
      <c r="AE75" s="175"/>
      <c r="AF75" s="175"/>
      <c r="AG75" s="175"/>
      <c r="AH75" s="175"/>
      <c r="AI75" s="175"/>
      <c r="AJ75" s="175"/>
    </row>
    <row r="76" customFormat="false" ht="15.75" hidden="false" customHeight="true" outlineLevel="0" collapsed="false">
      <c r="A76" s="80" t="n">
        <v>71</v>
      </c>
      <c r="B76" s="323" t="str">
        <f aca="false">IFERROR(__xludf.dummyfunction("""COMPUTED_VALUE"""),"")</f>
        <v/>
      </c>
      <c r="C76" s="321" t="str">
        <f aca="false">IFERROR(__xludf.dummyfunction("""COMPUTED_VALUE"""),"")</f>
        <v/>
      </c>
      <c r="D76" s="321" t="str">
        <f aca="false">IFERROR(__xludf.dummyfunction("""COMPUTED_VALUE"""),"")</f>
        <v/>
      </c>
      <c r="E76" s="321" t="str">
        <f aca="false">IFERROR(__xludf.dummyfunction("""COMPUTED_VALUE"""),"")</f>
        <v/>
      </c>
      <c r="F76" s="321" t="str">
        <f aca="false">IFERROR(__xludf.dummyfunction("""COMPUTED_VALUE"""),"")</f>
        <v/>
      </c>
      <c r="G76" s="321" t="str">
        <f aca="false">IFERROR(__xludf.dummyfunction("""COMPUTED_VALUE"""),"")</f>
        <v/>
      </c>
      <c r="H76" s="322" t="str">
        <f aca="false">IFERROR(__xludf.dummyfunction("""COMPUTED_VALUE"""),"")</f>
        <v/>
      </c>
      <c r="I76" s="321" t="str">
        <f aca="false">IFERROR(__xludf.dummyfunction("""COMPUTED_VALUE"""),"")</f>
        <v/>
      </c>
      <c r="J76" s="322" t="str">
        <f aca="false">IFERROR(__xludf.dummyfunction("""COMPUTED_VALUE"""),"")</f>
        <v/>
      </c>
      <c r="K76" s="322" t="str">
        <f aca="false">IFERROR(__xludf.dummyfunction("""COMPUTED_VALUE"""),"")</f>
        <v/>
      </c>
      <c r="L76" s="322" t="str">
        <f aca="false">IFERROR(__xludf.dummyfunction("""COMPUTED_VALUE"""),"")</f>
        <v/>
      </c>
      <c r="M76" s="322" t="str">
        <f aca="false">IFERROR(__xludf.dummyfunction("""COMPUTED_VALUE"""),"")</f>
        <v/>
      </c>
      <c r="N76" s="322" t="str">
        <f aca="false">IFERROR(__xludf.dummyfunction("""COMPUTED_VALUE"""),"")</f>
        <v/>
      </c>
      <c r="O76" s="322" t="str">
        <f aca="false">IFERROR(__xludf.dummyfunction("""COMPUTED_VALUE"""),"")</f>
        <v/>
      </c>
      <c r="P76" s="321" t="str">
        <f aca="false">IFERROR(__xludf.dummyfunction("""COMPUTED_VALUE"""),"")</f>
        <v/>
      </c>
      <c r="Q76" s="322" t="str">
        <f aca="false">IFERROR(__xludf.dummyfunction("""COMPUTED_VALUE"""),"")</f>
        <v/>
      </c>
      <c r="R76" s="322" t="str">
        <f aca="false">IFERROR(__xludf.dummyfunction("""COMPUTED_VALUE"""),"")</f>
        <v/>
      </c>
      <c r="S76" s="322" t="str">
        <f aca="false">IFERROR(__xludf.dummyfunction("""COMPUTED_VALUE"""),"")</f>
        <v/>
      </c>
      <c r="T76" s="321" t="str">
        <f aca="false">IFERROR(__xludf.dummyfunction("""COMPUTED_VALUE"""),"")</f>
        <v/>
      </c>
      <c r="U76" s="321" t="str">
        <f aca="false">IFERROR(__xludf.dummyfunction("""COMPUTED_VALUE"""),"")</f>
        <v/>
      </c>
      <c r="V76" s="321" t="str">
        <f aca="false">IFERROR(__xludf.dummyfunction("""COMPUTED_VALUE"""),"")</f>
        <v/>
      </c>
      <c r="W76" s="322" t="str">
        <f aca="false">IFERROR(__xludf.dummyfunction("""COMPUTED_VALUE"""),"")</f>
        <v/>
      </c>
      <c r="X76" s="321" t="str">
        <f aca="false">IFERROR(__xludf.dummyfunction("""COMPUTED_VALUE"""),"")</f>
        <v/>
      </c>
      <c r="Y76" s="321" t="str">
        <f aca="false">IFERROR(__xludf.dummyfunction("""COMPUTED_VALUE"""),"")</f>
        <v/>
      </c>
      <c r="Z76" s="175"/>
      <c r="AA76" s="175"/>
      <c r="AB76" s="175"/>
      <c r="AC76" s="175"/>
      <c r="AD76" s="175"/>
      <c r="AE76" s="175"/>
      <c r="AF76" s="175"/>
      <c r="AG76" s="175"/>
      <c r="AH76" s="175"/>
      <c r="AI76" s="175"/>
      <c r="AJ76" s="175"/>
    </row>
    <row r="77" customFormat="false" ht="15.75" hidden="false" customHeight="true" outlineLevel="0" collapsed="false">
      <c r="A77" s="80" t="n">
        <v>72</v>
      </c>
      <c r="B77" s="323" t="str">
        <f aca="false">IFERROR(__xludf.dummyfunction("""COMPUTED_VALUE"""),"")</f>
        <v/>
      </c>
      <c r="C77" s="321" t="str">
        <f aca="false">IFERROR(__xludf.dummyfunction("""COMPUTED_VALUE"""),"")</f>
        <v/>
      </c>
      <c r="D77" s="321" t="str">
        <f aca="false">IFERROR(__xludf.dummyfunction("""COMPUTED_VALUE"""),"")</f>
        <v/>
      </c>
      <c r="E77" s="321" t="str">
        <f aca="false">IFERROR(__xludf.dummyfunction("""COMPUTED_VALUE"""),"")</f>
        <v/>
      </c>
      <c r="F77" s="321" t="str">
        <f aca="false">IFERROR(__xludf.dummyfunction("""COMPUTED_VALUE"""),"")</f>
        <v/>
      </c>
      <c r="G77" s="321" t="str">
        <f aca="false">IFERROR(__xludf.dummyfunction("""COMPUTED_VALUE"""),"")</f>
        <v/>
      </c>
      <c r="H77" s="322" t="str">
        <f aca="false">IFERROR(__xludf.dummyfunction("""COMPUTED_VALUE"""),"")</f>
        <v/>
      </c>
      <c r="I77" s="321" t="str">
        <f aca="false">IFERROR(__xludf.dummyfunction("""COMPUTED_VALUE"""),"")</f>
        <v/>
      </c>
      <c r="J77" s="322" t="str">
        <f aca="false">IFERROR(__xludf.dummyfunction("""COMPUTED_VALUE"""),"")</f>
        <v/>
      </c>
      <c r="K77" s="322" t="str">
        <f aca="false">IFERROR(__xludf.dummyfunction("""COMPUTED_VALUE"""),"")</f>
        <v/>
      </c>
      <c r="L77" s="322" t="str">
        <f aca="false">IFERROR(__xludf.dummyfunction("""COMPUTED_VALUE"""),"")</f>
        <v/>
      </c>
      <c r="M77" s="322" t="str">
        <f aca="false">IFERROR(__xludf.dummyfunction("""COMPUTED_VALUE"""),"")</f>
        <v/>
      </c>
      <c r="N77" s="322" t="str">
        <f aca="false">IFERROR(__xludf.dummyfunction("""COMPUTED_VALUE"""),"")</f>
        <v/>
      </c>
      <c r="O77" s="322" t="str">
        <f aca="false">IFERROR(__xludf.dummyfunction("""COMPUTED_VALUE"""),"")</f>
        <v/>
      </c>
      <c r="P77" s="321" t="str">
        <f aca="false">IFERROR(__xludf.dummyfunction("""COMPUTED_VALUE"""),"")</f>
        <v/>
      </c>
      <c r="Q77" s="322" t="str">
        <f aca="false">IFERROR(__xludf.dummyfunction("""COMPUTED_VALUE"""),"")</f>
        <v/>
      </c>
      <c r="R77" s="322" t="str">
        <f aca="false">IFERROR(__xludf.dummyfunction("""COMPUTED_VALUE"""),"")</f>
        <v/>
      </c>
      <c r="S77" s="322" t="str">
        <f aca="false">IFERROR(__xludf.dummyfunction("""COMPUTED_VALUE"""),"")</f>
        <v/>
      </c>
      <c r="T77" s="321" t="str">
        <f aca="false">IFERROR(__xludf.dummyfunction("""COMPUTED_VALUE"""),"")</f>
        <v/>
      </c>
      <c r="U77" s="321" t="str">
        <f aca="false">IFERROR(__xludf.dummyfunction("""COMPUTED_VALUE"""),"")</f>
        <v/>
      </c>
      <c r="V77" s="321" t="str">
        <f aca="false">IFERROR(__xludf.dummyfunction("""COMPUTED_VALUE"""),"")</f>
        <v/>
      </c>
      <c r="W77" s="322" t="str">
        <f aca="false">IFERROR(__xludf.dummyfunction("""COMPUTED_VALUE"""),"")</f>
        <v/>
      </c>
      <c r="X77" s="321" t="str">
        <f aca="false">IFERROR(__xludf.dummyfunction("""COMPUTED_VALUE"""),"")</f>
        <v/>
      </c>
      <c r="Y77" s="321" t="str">
        <f aca="false">IFERROR(__xludf.dummyfunction("""COMPUTED_VALUE"""),"")</f>
        <v/>
      </c>
      <c r="Z77" s="175"/>
      <c r="AA77" s="175"/>
      <c r="AB77" s="175"/>
      <c r="AC77" s="175"/>
      <c r="AD77" s="175"/>
      <c r="AE77" s="175"/>
      <c r="AF77" s="175"/>
      <c r="AG77" s="175"/>
      <c r="AH77" s="175"/>
      <c r="AI77" s="175"/>
      <c r="AJ77" s="175"/>
    </row>
    <row r="78" customFormat="false" ht="15.75" hidden="false" customHeight="true" outlineLevel="0" collapsed="false">
      <c r="A78" s="80" t="n">
        <v>73</v>
      </c>
      <c r="B78" s="323" t="str">
        <f aca="false">IFERROR(__xludf.dummyfunction("""COMPUTED_VALUE"""),"")</f>
        <v/>
      </c>
      <c r="C78" s="321" t="str">
        <f aca="false">IFERROR(__xludf.dummyfunction("""COMPUTED_VALUE"""),"")</f>
        <v/>
      </c>
      <c r="D78" s="321" t="str">
        <f aca="false">IFERROR(__xludf.dummyfunction("""COMPUTED_VALUE"""),"")</f>
        <v/>
      </c>
      <c r="E78" s="321" t="str">
        <f aca="false">IFERROR(__xludf.dummyfunction("""COMPUTED_VALUE"""),"")</f>
        <v/>
      </c>
      <c r="F78" s="321" t="str">
        <f aca="false">IFERROR(__xludf.dummyfunction("""COMPUTED_VALUE"""),"")</f>
        <v/>
      </c>
      <c r="G78" s="321" t="str">
        <f aca="false">IFERROR(__xludf.dummyfunction("""COMPUTED_VALUE"""),"")</f>
        <v/>
      </c>
      <c r="H78" s="322" t="str">
        <f aca="false">IFERROR(__xludf.dummyfunction("""COMPUTED_VALUE"""),"")</f>
        <v/>
      </c>
      <c r="I78" s="321" t="str">
        <f aca="false">IFERROR(__xludf.dummyfunction("""COMPUTED_VALUE"""),"")</f>
        <v/>
      </c>
      <c r="J78" s="322" t="str">
        <f aca="false">IFERROR(__xludf.dummyfunction("""COMPUTED_VALUE"""),"")</f>
        <v/>
      </c>
      <c r="K78" s="322" t="str">
        <f aca="false">IFERROR(__xludf.dummyfunction("""COMPUTED_VALUE"""),"")</f>
        <v/>
      </c>
      <c r="L78" s="322" t="str">
        <f aca="false">IFERROR(__xludf.dummyfunction("""COMPUTED_VALUE"""),"")</f>
        <v/>
      </c>
      <c r="M78" s="322" t="str">
        <f aca="false">IFERROR(__xludf.dummyfunction("""COMPUTED_VALUE"""),"")</f>
        <v/>
      </c>
      <c r="N78" s="322" t="str">
        <f aca="false">IFERROR(__xludf.dummyfunction("""COMPUTED_VALUE"""),"")</f>
        <v/>
      </c>
      <c r="O78" s="322" t="str">
        <f aca="false">IFERROR(__xludf.dummyfunction("""COMPUTED_VALUE"""),"")</f>
        <v/>
      </c>
      <c r="P78" s="321" t="str">
        <f aca="false">IFERROR(__xludf.dummyfunction("""COMPUTED_VALUE"""),"")</f>
        <v/>
      </c>
      <c r="Q78" s="322" t="str">
        <f aca="false">IFERROR(__xludf.dummyfunction("""COMPUTED_VALUE"""),"")</f>
        <v/>
      </c>
      <c r="R78" s="322" t="str">
        <f aca="false">IFERROR(__xludf.dummyfunction("""COMPUTED_VALUE"""),"")</f>
        <v/>
      </c>
      <c r="S78" s="322" t="str">
        <f aca="false">IFERROR(__xludf.dummyfunction("""COMPUTED_VALUE"""),"")</f>
        <v/>
      </c>
      <c r="T78" s="321" t="str">
        <f aca="false">IFERROR(__xludf.dummyfunction("""COMPUTED_VALUE"""),"")</f>
        <v/>
      </c>
      <c r="U78" s="321" t="str">
        <f aca="false">IFERROR(__xludf.dummyfunction("""COMPUTED_VALUE"""),"")</f>
        <v/>
      </c>
      <c r="V78" s="321" t="str">
        <f aca="false">IFERROR(__xludf.dummyfunction("""COMPUTED_VALUE"""),"")</f>
        <v/>
      </c>
      <c r="W78" s="322" t="str">
        <f aca="false">IFERROR(__xludf.dummyfunction("""COMPUTED_VALUE"""),"")</f>
        <v/>
      </c>
      <c r="X78" s="321" t="str">
        <f aca="false">IFERROR(__xludf.dummyfunction("""COMPUTED_VALUE"""),"")</f>
        <v/>
      </c>
      <c r="Y78" s="321" t="str">
        <f aca="false">IFERROR(__xludf.dummyfunction("""COMPUTED_VALUE"""),"")</f>
        <v/>
      </c>
      <c r="Z78" s="175"/>
      <c r="AA78" s="175"/>
      <c r="AB78" s="175"/>
      <c r="AC78" s="175"/>
      <c r="AD78" s="175"/>
      <c r="AE78" s="175"/>
      <c r="AF78" s="175"/>
      <c r="AG78" s="175"/>
      <c r="AH78" s="175"/>
      <c r="AI78" s="175"/>
      <c r="AJ78" s="175"/>
    </row>
    <row r="79" customFormat="false" ht="15.75" hidden="false" customHeight="true" outlineLevel="0" collapsed="false">
      <c r="A79" s="80" t="n">
        <v>74</v>
      </c>
      <c r="B79" s="323" t="str">
        <f aca="false">IFERROR(__xludf.dummyfunction("""COMPUTED_VALUE"""),"")</f>
        <v/>
      </c>
      <c r="C79" s="321" t="str">
        <f aca="false">IFERROR(__xludf.dummyfunction("""COMPUTED_VALUE"""),"")</f>
        <v/>
      </c>
      <c r="D79" s="321" t="str">
        <f aca="false">IFERROR(__xludf.dummyfunction("""COMPUTED_VALUE"""),"")</f>
        <v/>
      </c>
      <c r="E79" s="321" t="str">
        <f aca="false">IFERROR(__xludf.dummyfunction("""COMPUTED_VALUE"""),"")</f>
        <v/>
      </c>
      <c r="F79" s="321" t="str">
        <f aca="false">IFERROR(__xludf.dummyfunction("""COMPUTED_VALUE"""),"")</f>
        <v/>
      </c>
      <c r="G79" s="321" t="str">
        <f aca="false">IFERROR(__xludf.dummyfunction("""COMPUTED_VALUE"""),"")</f>
        <v/>
      </c>
      <c r="H79" s="322" t="str">
        <f aca="false">IFERROR(__xludf.dummyfunction("""COMPUTED_VALUE"""),"")</f>
        <v/>
      </c>
      <c r="I79" s="321" t="str">
        <f aca="false">IFERROR(__xludf.dummyfunction("""COMPUTED_VALUE"""),"")</f>
        <v/>
      </c>
      <c r="J79" s="322" t="str">
        <f aca="false">IFERROR(__xludf.dummyfunction("""COMPUTED_VALUE"""),"")</f>
        <v/>
      </c>
      <c r="K79" s="322" t="str">
        <f aca="false">IFERROR(__xludf.dummyfunction("""COMPUTED_VALUE"""),"")</f>
        <v/>
      </c>
      <c r="L79" s="322" t="str">
        <f aca="false">IFERROR(__xludf.dummyfunction("""COMPUTED_VALUE"""),"")</f>
        <v/>
      </c>
      <c r="M79" s="322" t="str">
        <f aca="false">IFERROR(__xludf.dummyfunction("""COMPUTED_VALUE"""),"")</f>
        <v/>
      </c>
      <c r="N79" s="322" t="str">
        <f aca="false">IFERROR(__xludf.dummyfunction("""COMPUTED_VALUE"""),"")</f>
        <v/>
      </c>
      <c r="O79" s="322" t="str">
        <f aca="false">IFERROR(__xludf.dummyfunction("""COMPUTED_VALUE"""),"")</f>
        <v/>
      </c>
      <c r="P79" s="321" t="str">
        <f aca="false">IFERROR(__xludf.dummyfunction("""COMPUTED_VALUE"""),"")</f>
        <v/>
      </c>
      <c r="Q79" s="322" t="str">
        <f aca="false">IFERROR(__xludf.dummyfunction("""COMPUTED_VALUE"""),"")</f>
        <v/>
      </c>
      <c r="R79" s="322" t="str">
        <f aca="false">IFERROR(__xludf.dummyfunction("""COMPUTED_VALUE"""),"")</f>
        <v/>
      </c>
      <c r="S79" s="322" t="str">
        <f aca="false">IFERROR(__xludf.dummyfunction("""COMPUTED_VALUE"""),"")</f>
        <v/>
      </c>
      <c r="T79" s="321" t="str">
        <f aca="false">IFERROR(__xludf.dummyfunction("""COMPUTED_VALUE"""),"")</f>
        <v/>
      </c>
      <c r="U79" s="321" t="str">
        <f aca="false">IFERROR(__xludf.dummyfunction("""COMPUTED_VALUE"""),"")</f>
        <v/>
      </c>
      <c r="V79" s="321" t="str">
        <f aca="false">IFERROR(__xludf.dummyfunction("""COMPUTED_VALUE"""),"")</f>
        <v/>
      </c>
      <c r="W79" s="322" t="str">
        <f aca="false">IFERROR(__xludf.dummyfunction("""COMPUTED_VALUE"""),"")</f>
        <v/>
      </c>
      <c r="X79" s="321" t="str">
        <f aca="false">IFERROR(__xludf.dummyfunction("""COMPUTED_VALUE"""),"")</f>
        <v/>
      </c>
      <c r="Y79" s="321" t="str">
        <f aca="false">IFERROR(__xludf.dummyfunction("""COMPUTED_VALUE"""),"")</f>
        <v/>
      </c>
      <c r="Z79" s="175"/>
      <c r="AA79" s="175"/>
      <c r="AB79" s="175"/>
      <c r="AC79" s="175"/>
      <c r="AD79" s="175"/>
      <c r="AE79" s="175"/>
      <c r="AF79" s="175"/>
      <c r="AG79" s="175"/>
      <c r="AH79" s="175"/>
      <c r="AI79" s="175"/>
      <c r="AJ79" s="175"/>
    </row>
    <row r="80" customFormat="false" ht="15.75" hidden="false" customHeight="true" outlineLevel="0" collapsed="false">
      <c r="A80" s="80" t="n">
        <v>75</v>
      </c>
      <c r="B80" s="323" t="str">
        <f aca="false">IFERROR(__xludf.dummyfunction("""COMPUTED_VALUE"""),"")</f>
        <v/>
      </c>
      <c r="C80" s="321" t="str">
        <f aca="false">IFERROR(__xludf.dummyfunction("""COMPUTED_VALUE"""),"")</f>
        <v/>
      </c>
      <c r="D80" s="321" t="str">
        <f aca="false">IFERROR(__xludf.dummyfunction("""COMPUTED_VALUE"""),"")</f>
        <v/>
      </c>
      <c r="E80" s="321" t="str">
        <f aca="false">IFERROR(__xludf.dummyfunction("""COMPUTED_VALUE"""),"")</f>
        <v/>
      </c>
      <c r="F80" s="321" t="str">
        <f aca="false">IFERROR(__xludf.dummyfunction("""COMPUTED_VALUE"""),"")</f>
        <v/>
      </c>
      <c r="G80" s="321" t="str">
        <f aca="false">IFERROR(__xludf.dummyfunction("""COMPUTED_VALUE"""),"")</f>
        <v/>
      </c>
      <c r="H80" s="322" t="str">
        <f aca="false">IFERROR(__xludf.dummyfunction("""COMPUTED_VALUE"""),"")</f>
        <v/>
      </c>
      <c r="I80" s="321" t="str">
        <f aca="false">IFERROR(__xludf.dummyfunction("""COMPUTED_VALUE"""),"")</f>
        <v/>
      </c>
      <c r="J80" s="322" t="str">
        <f aca="false">IFERROR(__xludf.dummyfunction("""COMPUTED_VALUE"""),"")</f>
        <v/>
      </c>
      <c r="K80" s="322" t="str">
        <f aca="false">IFERROR(__xludf.dummyfunction("""COMPUTED_VALUE"""),"")</f>
        <v/>
      </c>
      <c r="L80" s="322" t="str">
        <f aca="false">IFERROR(__xludf.dummyfunction("""COMPUTED_VALUE"""),"")</f>
        <v/>
      </c>
      <c r="M80" s="322" t="str">
        <f aca="false">IFERROR(__xludf.dummyfunction("""COMPUTED_VALUE"""),"")</f>
        <v/>
      </c>
      <c r="N80" s="322" t="str">
        <f aca="false">IFERROR(__xludf.dummyfunction("""COMPUTED_VALUE"""),"")</f>
        <v/>
      </c>
      <c r="O80" s="322" t="str">
        <f aca="false">IFERROR(__xludf.dummyfunction("""COMPUTED_VALUE"""),"")</f>
        <v/>
      </c>
      <c r="P80" s="321" t="str">
        <f aca="false">IFERROR(__xludf.dummyfunction("""COMPUTED_VALUE"""),"")</f>
        <v/>
      </c>
      <c r="Q80" s="322" t="str">
        <f aca="false">IFERROR(__xludf.dummyfunction("""COMPUTED_VALUE"""),"")</f>
        <v/>
      </c>
      <c r="R80" s="322" t="str">
        <f aca="false">IFERROR(__xludf.dummyfunction("""COMPUTED_VALUE"""),"")</f>
        <v/>
      </c>
      <c r="S80" s="322" t="str">
        <f aca="false">IFERROR(__xludf.dummyfunction("""COMPUTED_VALUE"""),"")</f>
        <v/>
      </c>
      <c r="T80" s="321" t="str">
        <f aca="false">IFERROR(__xludf.dummyfunction("""COMPUTED_VALUE"""),"")</f>
        <v/>
      </c>
      <c r="U80" s="321" t="str">
        <f aca="false">IFERROR(__xludf.dummyfunction("""COMPUTED_VALUE"""),"")</f>
        <v/>
      </c>
      <c r="V80" s="321" t="str">
        <f aca="false">IFERROR(__xludf.dummyfunction("""COMPUTED_VALUE"""),"")</f>
        <v/>
      </c>
      <c r="W80" s="322" t="str">
        <f aca="false">IFERROR(__xludf.dummyfunction("""COMPUTED_VALUE"""),"")</f>
        <v/>
      </c>
      <c r="X80" s="321" t="str">
        <f aca="false">IFERROR(__xludf.dummyfunction("""COMPUTED_VALUE"""),"")</f>
        <v/>
      </c>
      <c r="Y80" s="321" t="str">
        <f aca="false">IFERROR(__xludf.dummyfunction("""COMPUTED_VALUE"""),"")</f>
        <v/>
      </c>
      <c r="Z80" s="175"/>
      <c r="AA80" s="175"/>
      <c r="AB80" s="175"/>
      <c r="AC80" s="175"/>
      <c r="AD80" s="175"/>
      <c r="AE80" s="175"/>
      <c r="AF80" s="175"/>
      <c r="AG80" s="175"/>
      <c r="AH80" s="175"/>
      <c r="AI80" s="175"/>
      <c r="AJ80" s="175"/>
    </row>
    <row r="81" customFormat="false" ht="15.75" hidden="false" customHeight="true" outlineLevel="0" collapsed="false">
      <c r="A81" s="80" t="n">
        <v>76</v>
      </c>
      <c r="B81" s="323" t="str">
        <f aca="false">IFERROR(__xludf.dummyfunction("""COMPUTED_VALUE"""),"")</f>
        <v/>
      </c>
      <c r="C81" s="321" t="str">
        <f aca="false">IFERROR(__xludf.dummyfunction("""COMPUTED_VALUE"""),"")</f>
        <v/>
      </c>
      <c r="D81" s="321" t="str">
        <f aca="false">IFERROR(__xludf.dummyfunction("""COMPUTED_VALUE"""),"")</f>
        <v/>
      </c>
      <c r="E81" s="321" t="str">
        <f aca="false">IFERROR(__xludf.dummyfunction("""COMPUTED_VALUE"""),"")</f>
        <v/>
      </c>
      <c r="F81" s="321" t="str">
        <f aca="false">IFERROR(__xludf.dummyfunction("""COMPUTED_VALUE"""),"")</f>
        <v/>
      </c>
      <c r="G81" s="321" t="str">
        <f aca="false">IFERROR(__xludf.dummyfunction("""COMPUTED_VALUE"""),"")</f>
        <v/>
      </c>
      <c r="H81" s="322" t="str">
        <f aca="false">IFERROR(__xludf.dummyfunction("""COMPUTED_VALUE"""),"")</f>
        <v/>
      </c>
      <c r="I81" s="321" t="str">
        <f aca="false">IFERROR(__xludf.dummyfunction("""COMPUTED_VALUE"""),"")</f>
        <v/>
      </c>
      <c r="J81" s="322" t="str">
        <f aca="false">IFERROR(__xludf.dummyfunction("""COMPUTED_VALUE"""),"")</f>
        <v/>
      </c>
      <c r="K81" s="322" t="str">
        <f aca="false">IFERROR(__xludf.dummyfunction("""COMPUTED_VALUE"""),"")</f>
        <v/>
      </c>
      <c r="L81" s="322" t="str">
        <f aca="false">IFERROR(__xludf.dummyfunction("""COMPUTED_VALUE"""),"")</f>
        <v/>
      </c>
      <c r="M81" s="322" t="str">
        <f aca="false">IFERROR(__xludf.dummyfunction("""COMPUTED_VALUE"""),"")</f>
        <v/>
      </c>
      <c r="N81" s="322" t="str">
        <f aca="false">IFERROR(__xludf.dummyfunction("""COMPUTED_VALUE"""),"")</f>
        <v/>
      </c>
      <c r="O81" s="322" t="str">
        <f aca="false">IFERROR(__xludf.dummyfunction("""COMPUTED_VALUE"""),"")</f>
        <v/>
      </c>
      <c r="P81" s="321" t="str">
        <f aca="false">IFERROR(__xludf.dummyfunction("""COMPUTED_VALUE"""),"")</f>
        <v/>
      </c>
      <c r="Q81" s="322" t="str">
        <f aca="false">IFERROR(__xludf.dummyfunction("""COMPUTED_VALUE"""),"")</f>
        <v/>
      </c>
      <c r="R81" s="322" t="str">
        <f aca="false">IFERROR(__xludf.dummyfunction("""COMPUTED_VALUE"""),"")</f>
        <v/>
      </c>
      <c r="S81" s="322" t="str">
        <f aca="false">IFERROR(__xludf.dummyfunction("""COMPUTED_VALUE"""),"")</f>
        <v/>
      </c>
      <c r="T81" s="321" t="str">
        <f aca="false">IFERROR(__xludf.dummyfunction("""COMPUTED_VALUE"""),"")</f>
        <v/>
      </c>
      <c r="U81" s="321" t="str">
        <f aca="false">IFERROR(__xludf.dummyfunction("""COMPUTED_VALUE"""),"")</f>
        <v/>
      </c>
      <c r="V81" s="321" t="str">
        <f aca="false">IFERROR(__xludf.dummyfunction("""COMPUTED_VALUE"""),"")</f>
        <v/>
      </c>
      <c r="W81" s="322" t="str">
        <f aca="false">IFERROR(__xludf.dummyfunction("""COMPUTED_VALUE"""),"")</f>
        <v/>
      </c>
      <c r="X81" s="321" t="str">
        <f aca="false">IFERROR(__xludf.dummyfunction("""COMPUTED_VALUE"""),"")</f>
        <v/>
      </c>
      <c r="Y81" s="321" t="str">
        <f aca="false">IFERROR(__xludf.dummyfunction("""COMPUTED_VALUE"""),"")</f>
        <v/>
      </c>
      <c r="Z81" s="175"/>
      <c r="AA81" s="175"/>
      <c r="AB81" s="175"/>
      <c r="AC81" s="175"/>
      <c r="AD81" s="175"/>
      <c r="AE81" s="175"/>
      <c r="AF81" s="175"/>
      <c r="AG81" s="175"/>
      <c r="AH81" s="175"/>
      <c r="AI81" s="175"/>
      <c r="AJ81" s="175"/>
    </row>
    <row r="82" customFormat="false" ht="15.75" hidden="false" customHeight="true" outlineLevel="0" collapsed="false">
      <c r="A82" s="80" t="n">
        <v>77</v>
      </c>
      <c r="B82" s="323" t="str">
        <f aca="false">IFERROR(__xludf.dummyfunction("""COMPUTED_VALUE"""),"")</f>
        <v/>
      </c>
      <c r="C82" s="321" t="str">
        <f aca="false">IFERROR(__xludf.dummyfunction("""COMPUTED_VALUE"""),"")</f>
        <v/>
      </c>
      <c r="D82" s="321" t="str">
        <f aca="false">IFERROR(__xludf.dummyfunction("""COMPUTED_VALUE"""),"")</f>
        <v/>
      </c>
      <c r="E82" s="321" t="str">
        <f aca="false">IFERROR(__xludf.dummyfunction("""COMPUTED_VALUE"""),"")</f>
        <v/>
      </c>
      <c r="F82" s="321" t="str">
        <f aca="false">IFERROR(__xludf.dummyfunction("""COMPUTED_VALUE"""),"")</f>
        <v/>
      </c>
      <c r="G82" s="321" t="str">
        <f aca="false">IFERROR(__xludf.dummyfunction("""COMPUTED_VALUE"""),"")</f>
        <v/>
      </c>
      <c r="H82" s="322" t="str">
        <f aca="false">IFERROR(__xludf.dummyfunction("""COMPUTED_VALUE"""),"")</f>
        <v/>
      </c>
      <c r="I82" s="321" t="str">
        <f aca="false">IFERROR(__xludf.dummyfunction("""COMPUTED_VALUE"""),"")</f>
        <v/>
      </c>
      <c r="J82" s="322" t="str">
        <f aca="false">IFERROR(__xludf.dummyfunction("""COMPUTED_VALUE"""),"")</f>
        <v/>
      </c>
      <c r="K82" s="322" t="str">
        <f aca="false">IFERROR(__xludf.dummyfunction("""COMPUTED_VALUE"""),"")</f>
        <v/>
      </c>
      <c r="L82" s="322" t="str">
        <f aca="false">IFERROR(__xludf.dummyfunction("""COMPUTED_VALUE"""),"")</f>
        <v/>
      </c>
      <c r="M82" s="322" t="str">
        <f aca="false">IFERROR(__xludf.dummyfunction("""COMPUTED_VALUE"""),"")</f>
        <v/>
      </c>
      <c r="N82" s="322" t="str">
        <f aca="false">IFERROR(__xludf.dummyfunction("""COMPUTED_VALUE"""),"")</f>
        <v/>
      </c>
      <c r="O82" s="322" t="str">
        <f aca="false">IFERROR(__xludf.dummyfunction("""COMPUTED_VALUE"""),"")</f>
        <v/>
      </c>
      <c r="P82" s="321" t="str">
        <f aca="false">IFERROR(__xludf.dummyfunction("""COMPUTED_VALUE"""),"")</f>
        <v/>
      </c>
      <c r="Q82" s="322" t="str">
        <f aca="false">IFERROR(__xludf.dummyfunction("""COMPUTED_VALUE"""),"")</f>
        <v/>
      </c>
      <c r="R82" s="322" t="str">
        <f aca="false">IFERROR(__xludf.dummyfunction("""COMPUTED_VALUE"""),"")</f>
        <v/>
      </c>
      <c r="S82" s="322" t="str">
        <f aca="false">IFERROR(__xludf.dummyfunction("""COMPUTED_VALUE"""),"")</f>
        <v/>
      </c>
      <c r="T82" s="321" t="str">
        <f aca="false">IFERROR(__xludf.dummyfunction("""COMPUTED_VALUE"""),"")</f>
        <v/>
      </c>
      <c r="U82" s="321" t="str">
        <f aca="false">IFERROR(__xludf.dummyfunction("""COMPUTED_VALUE"""),"")</f>
        <v/>
      </c>
      <c r="V82" s="321" t="str">
        <f aca="false">IFERROR(__xludf.dummyfunction("""COMPUTED_VALUE"""),"")</f>
        <v/>
      </c>
      <c r="W82" s="322" t="str">
        <f aca="false">IFERROR(__xludf.dummyfunction("""COMPUTED_VALUE"""),"")</f>
        <v/>
      </c>
      <c r="X82" s="321" t="str">
        <f aca="false">IFERROR(__xludf.dummyfunction("""COMPUTED_VALUE"""),"")</f>
        <v/>
      </c>
      <c r="Y82" s="321" t="str">
        <f aca="false">IFERROR(__xludf.dummyfunction("""COMPUTED_VALUE"""),"")</f>
        <v/>
      </c>
      <c r="Z82" s="175"/>
      <c r="AA82" s="175"/>
      <c r="AB82" s="175"/>
      <c r="AC82" s="175"/>
      <c r="AD82" s="175"/>
      <c r="AE82" s="175"/>
      <c r="AF82" s="175"/>
      <c r="AG82" s="175"/>
      <c r="AH82" s="175"/>
      <c r="AI82" s="175"/>
      <c r="AJ82" s="175"/>
    </row>
    <row r="83" customFormat="false" ht="15.75" hidden="false" customHeight="true" outlineLevel="0" collapsed="false">
      <c r="A83" s="80" t="n">
        <v>78</v>
      </c>
      <c r="B83" s="323" t="str">
        <f aca="false">IFERROR(__xludf.dummyfunction("""COMPUTED_VALUE"""),"")</f>
        <v/>
      </c>
      <c r="C83" s="321" t="str">
        <f aca="false">IFERROR(__xludf.dummyfunction("""COMPUTED_VALUE"""),"")</f>
        <v/>
      </c>
      <c r="D83" s="321" t="str">
        <f aca="false">IFERROR(__xludf.dummyfunction("""COMPUTED_VALUE"""),"")</f>
        <v/>
      </c>
      <c r="E83" s="321" t="str">
        <f aca="false">IFERROR(__xludf.dummyfunction("""COMPUTED_VALUE"""),"")</f>
        <v/>
      </c>
      <c r="F83" s="321" t="str">
        <f aca="false">IFERROR(__xludf.dummyfunction("""COMPUTED_VALUE"""),"")</f>
        <v/>
      </c>
      <c r="G83" s="321" t="str">
        <f aca="false">IFERROR(__xludf.dummyfunction("""COMPUTED_VALUE"""),"")</f>
        <v/>
      </c>
      <c r="H83" s="322" t="str">
        <f aca="false">IFERROR(__xludf.dummyfunction("""COMPUTED_VALUE"""),"")</f>
        <v/>
      </c>
      <c r="I83" s="321" t="str">
        <f aca="false">IFERROR(__xludf.dummyfunction("""COMPUTED_VALUE"""),"")</f>
        <v/>
      </c>
      <c r="J83" s="322" t="str">
        <f aca="false">IFERROR(__xludf.dummyfunction("""COMPUTED_VALUE"""),"")</f>
        <v/>
      </c>
      <c r="K83" s="322" t="str">
        <f aca="false">IFERROR(__xludf.dummyfunction("""COMPUTED_VALUE"""),"")</f>
        <v/>
      </c>
      <c r="L83" s="322" t="str">
        <f aca="false">IFERROR(__xludf.dummyfunction("""COMPUTED_VALUE"""),"")</f>
        <v/>
      </c>
      <c r="M83" s="322" t="str">
        <f aca="false">IFERROR(__xludf.dummyfunction("""COMPUTED_VALUE"""),"")</f>
        <v/>
      </c>
      <c r="N83" s="322" t="str">
        <f aca="false">IFERROR(__xludf.dummyfunction("""COMPUTED_VALUE"""),"")</f>
        <v/>
      </c>
      <c r="O83" s="322" t="str">
        <f aca="false">IFERROR(__xludf.dummyfunction("""COMPUTED_VALUE"""),"")</f>
        <v/>
      </c>
      <c r="P83" s="321" t="str">
        <f aca="false">IFERROR(__xludf.dummyfunction("""COMPUTED_VALUE"""),"")</f>
        <v/>
      </c>
      <c r="Q83" s="322" t="str">
        <f aca="false">IFERROR(__xludf.dummyfunction("""COMPUTED_VALUE"""),"")</f>
        <v/>
      </c>
      <c r="R83" s="322" t="str">
        <f aca="false">IFERROR(__xludf.dummyfunction("""COMPUTED_VALUE"""),"")</f>
        <v/>
      </c>
      <c r="S83" s="322" t="str">
        <f aca="false">IFERROR(__xludf.dummyfunction("""COMPUTED_VALUE"""),"")</f>
        <v/>
      </c>
      <c r="T83" s="321" t="str">
        <f aca="false">IFERROR(__xludf.dummyfunction("""COMPUTED_VALUE"""),"")</f>
        <v/>
      </c>
      <c r="U83" s="321" t="str">
        <f aca="false">IFERROR(__xludf.dummyfunction("""COMPUTED_VALUE"""),"")</f>
        <v/>
      </c>
      <c r="V83" s="321" t="str">
        <f aca="false">IFERROR(__xludf.dummyfunction("""COMPUTED_VALUE"""),"")</f>
        <v/>
      </c>
      <c r="W83" s="322" t="str">
        <f aca="false">IFERROR(__xludf.dummyfunction("""COMPUTED_VALUE"""),"")</f>
        <v/>
      </c>
      <c r="X83" s="321" t="str">
        <f aca="false">IFERROR(__xludf.dummyfunction("""COMPUTED_VALUE"""),"")</f>
        <v/>
      </c>
      <c r="Y83" s="321" t="str">
        <f aca="false">IFERROR(__xludf.dummyfunction("""COMPUTED_VALUE"""),"")</f>
        <v/>
      </c>
      <c r="Z83" s="175"/>
      <c r="AA83" s="175"/>
      <c r="AB83" s="175"/>
      <c r="AC83" s="175"/>
      <c r="AD83" s="175"/>
      <c r="AE83" s="175"/>
      <c r="AF83" s="175"/>
      <c r="AG83" s="175"/>
      <c r="AH83" s="175"/>
      <c r="AI83" s="175"/>
      <c r="AJ83" s="175"/>
    </row>
    <row r="84" customFormat="false" ht="15.75" hidden="false" customHeight="true" outlineLevel="0" collapsed="false">
      <c r="A84" s="80" t="n">
        <v>79</v>
      </c>
      <c r="B84" s="323" t="str">
        <f aca="false">IFERROR(__xludf.dummyfunction("""COMPUTED_VALUE"""),"")</f>
        <v/>
      </c>
      <c r="C84" s="321" t="str">
        <f aca="false">IFERROR(__xludf.dummyfunction("""COMPUTED_VALUE"""),"")</f>
        <v/>
      </c>
      <c r="D84" s="321" t="str">
        <f aca="false">IFERROR(__xludf.dummyfunction("""COMPUTED_VALUE"""),"")</f>
        <v/>
      </c>
      <c r="E84" s="321" t="str">
        <f aca="false">IFERROR(__xludf.dummyfunction("""COMPUTED_VALUE"""),"")</f>
        <v/>
      </c>
      <c r="F84" s="321" t="str">
        <f aca="false">IFERROR(__xludf.dummyfunction("""COMPUTED_VALUE"""),"")</f>
        <v/>
      </c>
      <c r="G84" s="321" t="str">
        <f aca="false">IFERROR(__xludf.dummyfunction("""COMPUTED_VALUE"""),"")</f>
        <v/>
      </c>
      <c r="H84" s="322" t="str">
        <f aca="false">IFERROR(__xludf.dummyfunction("""COMPUTED_VALUE"""),"")</f>
        <v/>
      </c>
      <c r="I84" s="321" t="str">
        <f aca="false">IFERROR(__xludf.dummyfunction("""COMPUTED_VALUE"""),"")</f>
        <v/>
      </c>
      <c r="J84" s="322" t="str">
        <f aca="false">IFERROR(__xludf.dummyfunction("""COMPUTED_VALUE"""),"")</f>
        <v/>
      </c>
      <c r="K84" s="322" t="str">
        <f aca="false">IFERROR(__xludf.dummyfunction("""COMPUTED_VALUE"""),"")</f>
        <v/>
      </c>
      <c r="L84" s="322" t="str">
        <f aca="false">IFERROR(__xludf.dummyfunction("""COMPUTED_VALUE"""),"")</f>
        <v/>
      </c>
      <c r="M84" s="322" t="str">
        <f aca="false">IFERROR(__xludf.dummyfunction("""COMPUTED_VALUE"""),"")</f>
        <v/>
      </c>
      <c r="N84" s="322" t="str">
        <f aca="false">IFERROR(__xludf.dummyfunction("""COMPUTED_VALUE"""),"")</f>
        <v/>
      </c>
      <c r="O84" s="322" t="str">
        <f aca="false">IFERROR(__xludf.dummyfunction("""COMPUTED_VALUE"""),"")</f>
        <v/>
      </c>
      <c r="P84" s="321" t="str">
        <f aca="false">IFERROR(__xludf.dummyfunction("""COMPUTED_VALUE"""),"")</f>
        <v/>
      </c>
      <c r="Q84" s="322" t="str">
        <f aca="false">IFERROR(__xludf.dummyfunction("""COMPUTED_VALUE"""),"")</f>
        <v/>
      </c>
      <c r="R84" s="322" t="str">
        <f aca="false">IFERROR(__xludf.dummyfunction("""COMPUTED_VALUE"""),"")</f>
        <v/>
      </c>
      <c r="S84" s="322" t="str">
        <f aca="false">IFERROR(__xludf.dummyfunction("""COMPUTED_VALUE"""),"")</f>
        <v/>
      </c>
      <c r="T84" s="321" t="str">
        <f aca="false">IFERROR(__xludf.dummyfunction("""COMPUTED_VALUE"""),"")</f>
        <v/>
      </c>
      <c r="U84" s="321" t="str">
        <f aca="false">IFERROR(__xludf.dummyfunction("""COMPUTED_VALUE"""),"")</f>
        <v/>
      </c>
      <c r="V84" s="321" t="str">
        <f aca="false">IFERROR(__xludf.dummyfunction("""COMPUTED_VALUE"""),"")</f>
        <v/>
      </c>
      <c r="W84" s="322" t="str">
        <f aca="false">IFERROR(__xludf.dummyfunction("""COMPUTED_VALUE"""),"")</f>
        <v/>
      </c>
      <c r="X84" s="321" t="str">
        <f aca="false">IFERROR(__xludf.dummyfunction("""COMPUTED_VALUE"""),"")</f>
        <v/>
      </c>
      <c r="Y84" s="321" t="str">
        <f aca="false">IFERROR(__xludf.dummyfunction("""COMPUTED_VALUE"""),"")</f>
        <v/>
      </c>
      <c r="Z84" s="175"/>
      <c r="AA84" s="175"/>
      <c r="AB84" s="175"/>
      <c r="AC84" s="175"/>
      <c r="AD84" s="175"/>
      <c r="AE84" s="175"/>
      <c r="AF84" s="175"/>
      <c r="AG84" s="175"/>
      <c r="AH84" s="175"/>
      <c r="AI84" s="175"/>
      <c r="AJ84" s="175"/>
    </row>
    <row r="85" customFormat="false" ht="15.75" hidden="false" customHeight="true" outlineLevel="0" collapsed="false">
      <c r="A85" s="80" t="n">
        <v>80</v>
      </c>
      <c r="B85" s="323" t="str">
        <f aca="false">IFERROR(__xludf.dummyfunction("""COMPUTED_VALUE"""),"")</f>
        <v/>
      </c>
      <c r="C85" s="321" t="str">
        <f aca="false">IFERROR(__xludf.dummyfunction("""COMPUTED_VALUE"""),"")</f>
        <v/>
      </c>
      <c r="D85" s="321" t="str">
        <f aca="false">IFERROR(__xludf.dummyfunction("""COMPUTED_VALUE"""),"")</f>
        <v/>
      </c>
      <c r="E85" s="321" t="str">
        <f aca="false">IFERROR(__xludf.dummyfunction("""COMPUTED_VALUE"""),"")</f>
        <v/>
      </c>
      <c r="F85" s="321" t="str">
        <f aca="false">IFERROR(__xludf.dummyfunction("""COMPUTED_VALUE"""),"")</f>
        <v/>
      </c>
      <c r="G85" s="321" t="str">
        <f aca="false">IFERROR(__xludf.dummyfunction("""COMPUTED_VALUE"""),"")</f>
        <v/>
      </c>
      <c r="H85" s="322" t="str">
        <f aca="false">IFERROR(__xludf.dummyfunction("""COMPUTED_VALUE"""),"")</f>
        <v/>
      </c>
      <c r="I85" s="321" t="str">
        <f aca="false">IFERROR(__xludf.dummyfunction("""COMPUTED_VALUE"""),"")</f>
        <v/>
      </c>
      <c r="J85" s="322" t="str">
        <f aca="false">IFERROR(__xludf.dummyfunction("""COMPUTED_VALUE"""),"")</f>
        <v/>
      </c>
      <c r="K85" s="322" t="str">
        <f aca="false">IFERROR(__xludf.dummyfunction("""COMPUTED_VALUE"""),"")</f>
        <v/>
      </c>
      <c r="L85" s="322" t="str">
        <f aca="false">IFERROR(__xludf.dummyfunction("""COMPUTED_VALUE"""),"")</f>
        <v/>
      </c>
      <c r="M85" s="322" t="str">
        <f aca="false">IFERROR(__xludf.dummyfunction("""COMPUTED_VALUE"""),"")</f>
        <v/>
      </c>
      <c r="N85" s="322" t="str">
        <f aca="false">IFERROR(__xludf.dummyfunction("""COMPUTED_VALUE"""),"")</f>
        <v/>
      </c>
      <c r="O85" s="322" t="str">
        <f aca="false">IFERROR(__xludf.dummyfunction("""COMPUTED_VALUE"""),"")</f>
        <v/>
      </c>
      <c r="P85" s="321" t="str">
        <f aca="false">IFERROR(__xludf.dummyfunction("""COMPUTED_VALUE"""),"")</f>
        <v/>
      </c>
      <c r="Q85" s="322" t="str">
        <f aca="false">IFERROR(__xludf.dummyfunction("""COMPUTED_VALUE"""),"")</f>
        <v/>
      </c>
      <c r="R85" s="322" t="str">
        <f aca="false">IFERROR(__xludf.dummyfunction("""COMPUTED_VALUE"""),"")</f>
        <v/>
      </c>
      <c r="S85" s="322" t="str">
        <f aca="false">IFERROR(__xludf.dummyfunction("""COMPUTED_VALUE"""),"")</f>
        <v/>
      </c>
      <c r="T85" s="321" t="str">
        <f aca="false">IFERROR(__xludf.dummyfunction("""COMPUTED_VALUE"""),"")</f>
        <v/>
      </c>
      <c r="U85" s="321" t="str">
        <f aca="false">IFERROR(__xludf.dummyfunction("""COMPUTED_VALUE"""),"")</f>
        <v/>
      </c>
      <c r="V85" s="321" t="str">
        <f aca="false">IFERROR(__xludf.dummyfunction("""COMPUTED_VALUE"""),"")</f>
        <v/>
      </c>
      <c r="W85" s="322" t="str">
        <f aca="false">IFERROR(__xludf.dummyfunction("""COMPUTED_VALUE"""),"")</f>
        <v/>
      </c>
      <c r="X85" s="321" t="str">
        <f aca="false">IFERROR(__xludf.dummyfunction("""COMPUTED_VALUE"""),"")</f>
        <v/>
      </c>
      <c r="Y85" s="321" t="str">
        <f aca="false">IFERROR(__xludf.dummyfunction("""COMPUTED_VALUE"""),"")</f>
        <v/>
      </c>
      <c r="Z85" s="175"/>
      <c r="AA85" s="175"/>
      <c r="AB85" s="175"/>
      <c r="AC85" s="175"/>
      <c r="AD85" s="175"/>
      <c r="AE85" s="175"/>
      <c r="AF85" s="175"/>
      <c r="AG85" s="175"/>
      <c r="AH85" s="175"/>
      <c r="AI85" s="175"/>
      <c r="AJ85" s="175"/>
    </row>
    <row r="86" customFormat="false" ht="15.75" hidden="false" customHeight="true" outlineLevel="0" collapsed="false">
      <c r="A86" s="80" t="n">
        <v>81</v>
      </c>
      <c r="B86" s="323" t="str">
        <f aca="false">IFERROR(__xludf.dummyfunction("""COMPUTED_VALUE"""),"")</f>
        <v/>
      </c>
      <c r="C86" s="321" t="str">
        <f aca="false">IFERROR(__xludf.dummyfunction("""COMPUTED_VALUE"""),"")</f>
        <v/>
      </c>
      <c r="D86" s="321" t="str">
        <f aca="false">IFERROR(__xludf.dummyfunction("""COMPUTED_VALUE"""),"")</f>
        <v/>
      </c>
      <c r="E86" s="321" t="str">
        <f aca="false">IFERROR(__xludf.dummyfunction("""COMPUTED_VALUE"""),"")</f>
        <v/>
      </c>
      <c r="F86" s="321" t="str">
        <f aca="false">IFERROR(__xludf.dummyfunction("""COMPUTED_VALUE"""),"")</f>
        <v/>
      </c>
      <c r="G86" s="321" t="str">
        <f aca="false">IFERROR(__xludf.dummyfunction("""COMPUTED_VALUE"""),"")</f>
        <v/>
      </c>
      <c r="H86" s="322" t="str">
        <f aca="false">IFERROR(__xludf.dummyfunction("""COMPUTED_VALUE"""),"")</f>
        <v/>
      </c>
      <c r="I86" s="321" t="str">
        <f aca="false">IFERROR(__xludf.dummyfunction("""COMPUTED_VALUE"""),"")</f>
        <v/>
      </c>
      <c r="J86" s="322" t="str">
        <f aca="false">IFERROR(__xludf.dummyfunction("""COMPUTED_VALUE"""),"")</f>
        <v/>
      </c>
      <c r="K86" s="322" t="str">
        <f aca="false">IFERROR(__xludf.dummyfunction("""COMPUTED_VALUE"""),"")</f>
        <v/>
      </c>
      <c r="L86" s="322" t="str">
        <f aca="false">IFERROR(__xludf.dummyfunction("""COMPUTED_VALUE"""),"")</f>
        <v/>
      </c>
      <c r="M86" s="322" t="str">
        <f aca="false">IFERROR(__xludf.dummyfunction("""COMPUTED_VALUE"""),"")</f>
        <v/>
      </c>
      <c r="N86" s="322" t="str">
        <f aca="false">IFERROR(__xludf.dummyfunction("""COMPUTED_VALUE"""),"")</f>
        <v/>
      </c>
      <c r="O86" s="322" t="str">
        <f aca="false">IFERROR(__xludf.dummyfunction("""COMPUTED_VALUE"""),"")</f>
        <v/>
      </c>
      <c r="P86" s="321" t="str">
        <f aca="false">IFERROR(__xludf.dummyfunction("""COMPUTED_VALUE"""),"")</f>
        <v/>
      </c>
      <c r="Q86" s="322" t="str">
        <f aca="false">IFERROR(__xludf.dummyfunction("""COMPUTED_VALUE"""),"")</f>
        <v/>
      </c>
      <c r="R86" s="322" t="str">
        <f aca="false">IFERROR(__xludf.dummyfunction("""COMPUTED_VALUE"""),"")</f>
        <v/>
      </c>
      <c r="S86" s="322" t="str">
        <f aca="false">IFERROR(__xludf.dummyfunction("""COMPUTED_VALUE"""),"")</f>
        <v/>
      </c>
      <c r="T86" s="321" t="str">
        <f aca="false">IFERROR(__xludf.dummyfunction("""COMPUTED_VALUE"""),"")</f>
        <v/>
      </c>
      <c r="U86" s="321" t="str">
        <f aca="false">IFERROR(__xludf.dummyfunction("""COMPUTED_VALUE"""),"")</f>
        <v/>
      </c>
      <c r="V86" s="321" t="str">
        <f aca="false">IFERROR(__xludf.dummyfunction("""COMPUTED_VALUE"""),"")</f>
        <v/>
      </c>
      <c r="W86" s="322" t="str">
        <f aca="false">IFERROR(__xludf.dummyfunction("""COMPUTED_VALUE"""),"")</f>
        <v/>
      </c>
      <c r="X86" s="321" t="str">
        <f aca="false">IFERROR(__xludf.dummyfunction("""COMPUTED_VALUE"""),"")</f>
        <v/>
      </c>
      <c r="Y86" s="321" t="str">
        <f aca="false">IFERROR(__xludf.dummyfunction("""COMPUTED_VALUE"""),"")</f>
        <v/>
      </c>
      <c r="Z86" s="175"/>
      <c r="AA86" s="175"/>
      <c r="AB86" s="175"/>
      <c r="AC86" s="175"/>
      <c r="AD86" s="175"/>
      <c r="AE86" s="175"/>
      <c r="AF86" s="175"/>
      <c r="AG86" s="175"/>
      <c r="AH86" s="175"/>
      <c r="AI86" s="175"/>
      <c r="AJ86" s="175"/>
    </row>
    <row r="87" customFormat="false" ht="15.75" hidden="false" customHeight="true" outlineLevel="0" collapsed="false">
      <c r="A87" s="80" t="n">
        <v>82</v>
      </c>
      <c r="B87" s="323" t="str">
        <f aca="false">IFERROR(__xludf.dummyfunction("""COMPUTED_VALUE"""),"")</f>
        <v/>
      </c>
      <c r="C87" s="321" t="str">
        <f aca="false">IFERROR(__xludf.dummyfunction("""COMPUTED_VALUE"""),"")</f>
        <v/>
      </c>
      <c r="D87" s="321" t="str">
        <f aca="false">IFERROR(__xludf.dummyfunction("""COMPUTED_VALUE"""),"")</f>
        <v/>
      </c>
      <c r="E87" s="321" t="str">
        <f aca="false">IFERROR(__xludf.dummyfunction("""COMPUTED_VALUE"""),"")</f>
        <v/>
      </c>
      <c r="F87" s="321" t="str">
        <f aca="false">IFERROR(__xludf.dummyfunction("""COMPUTED_VALUE"""),"")</f>
        <v/>
      </c>
      <c r="G87" s="321" t="str">
        <f aca="false">IFERROR(__xludf.dummyfunction("""COMPUTED_VALUE"""),"")</f>
        <v/>
      </c>
      <c r="H87" s="322" t="str">
        <f aca="false">IFERROR(__xludf.dummyfunction("""COMPUTED_VALUE"""),"")</f>
        <v/>
      </c>
      <c r="I87" s="321" t="str">
        <f aca="false">IFERROR(__xludf.dummyfunction("""COMPUTED_VALUE"""),"")</f>
        <v/>
      </c>
      <c r="J87" s="322" t="str">
        <f aca="false">IFERROR(__xludf.dummyfunction("""COMPUTED_VALUE"""),"")</f>
        <v/>
      </c>
      <c r="K87" s="322" t="str">
        <f aca="false">IFERROR(__xludf.dummyfunction("""COMPUTED_VALUE"""),"")</f>
        <v/>
      </c>
      <c r="L87" s="322" t="str">
        <f aca="false">IFERROR(__xludf.dummyfunction("""COMPUTED_VALUE"""),"")</f>
        <v/>
      </c>
      <c r="M87" s="322" t="str">
        <f aca="false">IFERROR(__xludf.dummyfunction("""COMPUTED_VALUE"""),"")</f>
        <v/>
      </c>
      <c r="N87" s="322" t="str">
        <f aca="false">IFERROR(__xludf.dummyfunction("""COMPUTED_VALUE"""),"")</f>
        <v/>
      </c>
      <c r="O87" s="322" t="str">
        <f aca="false">IFERROR(__xludf.dummyfunction("""COMPUTED_VALUE"""),"")</f>
        <v/>
      </c>
      <c r="P87" s="321" t="str">
        <f aca="false">IFERROR(__xludf.dummyfunction("""COMPUTED_VALUE"""),"")</f>
        <v/>
      </c>
      <c r="Q87" s="322" t="str">
        <f aca="false">IFERROR(__xludf.dummyfunction("""COMPUTED_VALUE"""),"")</f>
        <v/>
      </c>
      <c r="R87" s="322" t="str">
        <f aca="false">IFERROR(__xludf.dummyfunction("""COMPUTED_VALUE"""),"")</f>
        <v/>
      </c>
      <c r="S87" s="322" t="str">
        <f aca="false">IFERROR(__xludf.dummyfunction("""COMPUTED_VALUE"""),"")</f>
        <v/>
      </c>
      <c r="T87" s="321" t="str">
        <f aca="false">IFERROR(__xludf.dummyfunction("""COMPUTED_VALUE"""),"")</f>
        <v/>
      </c>
      <c r="U87" s="321" t="str">
        <f aca="false">IFERROR(__xludf.dummyfunction("""COMPUTED_VALUE"""),"")</f>
        <v/>
      </c>
      <c r="V87" s="321" t="str">
        <f aca="false">IFERROR(__xludf.dummyfunction("""COMPUTED_VALUE"""),"")</f>
        <v/>
      </c>
      <c r="W87" s="322" t="str">
        <f aca="false">IFERROR(__xludf.dummyfunction("""COMPUTED_VALUE"""),"")</f>
        <v/>
      </c>
      <c r="X87" s="321" t="str">
        <f aca="false">IFERROR(__xludf.dummyfunction("""COMPUTED_VALUE"""),"")</f>
        <v/>
      </c>
      <c r="Y87" s="321" t="str">
        <f aca="false">IFERROR(__xludf.dummyfunction("""COMPUTED_VALUE"""),"")</f>
        <v/>
      </c>
      <c r="Z87" s="175"/>
      <c r="AA87" s="175"/>
      <c r="AB87" s="175"/>
      <c r="AC87" s="175"/>
      <c r="AD87" s="175"/>
      <c r="AE87" s="175"/>
      <c r="AF87" s="175"/>
      <c r="AG87" s="175"/>
      <c r="AH87" s="175"/>
      <c r="AI87" s="175"/>
      <c r="AJ87" s="175"/>
    </row>
    <row r="88" customFormat="false" ht="15.75" hidden="false" customHeight="true" outlineLevel="0" collapsed="false">
      <c r="A88" s="80" t="n">
        <v>83</v>
      </c>
      <c r="B88" s="323" t="str">
        <f aca="false">IFERROR(__xludf.dummyfunction("""COMPUTED_VALUE"""),"")</f>
        <v/>
      </c>
      <c r="C88" s="321" t="str">
        <f aca="false">IFERROR(__xludf.dummyfunction("""COMPUTED_VALUE"""),"")</f>
        <v/>
      </c>
      <c r="D88" s="321" t="str">
        <f aca="false">IFERROR(__xludf.dummyfunction("""COMPUTED_VALUE"""),"")</f>
        <v/>
      </c>
      <c r="E88" s="321" t="str">
        <f aca="false">IFERROR(__xludf.dummyfunction("""COMPUTED_VALUE"""),"")</f>
        <v/>
      </c>
      <c r="F88" s="321" t="str">
        <f aca="false">IFERROR(__xludf.dummyfunction("""COMPUTED_VALUE"""),"")</f>
        <v/>
      </c>
      <c r="G88" s="321" t="str">
        <f aca="false">IFERROR(__xludf.dummyfunction("""COMPUTED_VALUE"""),"")</f>
        <v/>
      </c>
      <c r="H88" s="322" t="str">
        <f aca="false">IFERROR(__xludf.dummyfunction("""COMPUTED_VALUE"""),"")</f>
        <v/>
      </c>
      <c r="I88" s="321" t="str">
        <f aca="false">IFERROR(__xludf.dummyfunction("""COMPUTED_VALUE"""),"")</f>
        <v/>
      </c>
      <c r="J88" s="322" t="str">
        <f aca="false">IFERROR(__xludf.dummyfunction("""COMPUTED_VALUE"""),"")</f>
        <v/>
      </c>
      <c r="K88" s="322" t="str">
        <f aca="false">IFERROR(__xludf.dummyfunction("""COMPUTED_VALUE"""),"")</f>
        <v/>
      </c>
      <c r="L88" s="322" t="str">
        <f aca="false">IFERROR(__xludf.dummyfunction("""COMPUTED_VALUE"""),"")</f>
        <v/>
      </c>
      <c r="M88" s="322" t="str">
        <f aca="false">IFERROR(__xludf.dummyfunction("""COMPUTED_VALUE"""),"")</f>
        <v/>
      </c>
      <c r="N88" s="322" t="str">
        <f aca="false">IFERROR(__xludf.dummyfunction("""COMPUTED_VALUE"""),"")</f>
        <v/>
      </c>
      <c r="O88" s="322" t="str">
        <f aca="false">IFERROR(__xludf.dummyfunction("""COMPUTED_VALUE"""),"")</f>
        <v/>
      </c>
      <c r="P88" s="321" t="str">
        <f aca="false">IFERROR(__xludf.dummyfunction("""COMPUTED_VALUE"""),"")</f>
        <v/>
      </c>
      <c r="Q88" s="322" t="str">
        <f aca="false">IFERROR(__xludf.dummyfunction("""COMPUTED_VALUE"""),"")</f>
        <v/>
      </c>
      <c r="R88" s="322" t="str">
        <f aca="false">IFERROR(__xludf.dummyfunction("""COMPUTED_VALUE"""),"")</f>
        <v/>
      </c>
      <c r="S88" s="322" t="str">
        <f aca="false">IFERROR(__xludf.dummyfunction("""COMPUTED_VALUE"""),"")</f>
        <v/>
      </c>
      <c r="T88" s="321" t="str">
        <f aca="false">IFERROR(__xludf.dummyfunction("""COMPUTED_VALUE"""),"")</f>
        <v/>
      </c>
      <c r="U88" s="321" t="str">
        <f aca="false">IFERROR(__xludf.dummyfunction("""COMPUTED_VALUE"""),"")</f>
        <v/>
      </c>
      <c r="V88" s="321" t="str">
        <f aca="false">IFERROR(__xludf.dummyfunction("""COMPUTED_VALUE"""),"")</f>
        <v/>
      </c>
      <c r="W88" s="322" t="str">
        <f aca="false">IFERROR(__xludf.dummyfunction("""COMPUTED_VALUE"""),"")</f>
        <v/>
      </c>
      <c r="X88" s="321" t="str">
        <f aca="false">IFERROR(__xludf.dummyfunction("""COMPUTED_VALUE"""),"")</f>
        <v/>
      </c>
      <c r="Y88" s="321" t="str">
        <f aca="false">IFERROR(__xludf.dummyfunction("""COMPUTED_VALUE"""),"")</f>
        <v/>
      </c>
      <c r="Z88" s="175"/>
      <c r="AA88" s="175"/>
      <c r="AB88" s="175"/>
      <c r="AC88" s="175"/>
      <c r="AD88" s="175"/>
      <c r="AE88" s="175"/>
      <c r="AF88" s="175"/>
      <c r="AG88" s="175"/>
      <c r="AH88" s="175"/>
      <c r="AI88" s="175"/>
      <c r="AJ88" s="175"/>
    </row>
    <row r="89" customFormat="false" ht="15.75" hidden="false" customHeight="true" outlineLevel="0" collapsed="false">
      <c r="A89" s="80" t="n">
        <v>84</v>
      </c>
      <c r="B89" s="323" t="str">
        <f aca="false">IFERROR(__xludf.dummyfunction("""COMPUTED_VALUE"""),"")</f>
        <v/>
      </c>
      <c r="C89" s="321" t="str">
        <f aca="false">IFERROR(__xludf.dummyfunction("""COMPUTED_VALUE"""),"")</f>
        <v/>
      </c>
      <c r="D89" s="321" t="str">
        <f aca="false">IFERROR(__xludf.dummyfunction("""COMPUTED_VALUE"""),"")</f>
        <v/>
      </c>
      <c r="E89" s="321" t="str">
        <f aca="false">IFERROR(__xludf.dummyfunction("""COMPUTED_VALUE"""),"")</f>
        <v/>
      </c>
      <c r="F89" s="321" t="str">
        <f aca="false">IFERROR(__xludf.dummyfunction("""COMPUTED_VALUE"""),"")</f>
        <v/>
      </c>
      <c r="G89" s="321" t="str">
        <f aca="false">IFERROR(__xludf.dummyfunction("""COMPUTED_VALUE"""),"")</f>
        <v/>
      </c>
      <c r="H89" s="322" t="str">
        <f aca="false">IFERROR(__xludf.dummyfunction("""COMPUTED_VALUE"""),"")</f>
        <v/>
      </c>
      <c r="I89" s="321" t="str">
        <f aca="false">IFERROR(__xludf.dummyfunction("""COMPUTED_VALUE"""),"")</f>
        <v/>
      </c>
      <c r="J89" s="322" t="str">
        <f aca="false">IFERROR(__xludf.dummyfunction("""COMPUTED_VALUE"""),"")</f>
        <v/>
      </c>
      <c r="K89" s="322" t="str">
        <f aca="false">IFERROR(__xludf.dummyfunction("""COMPUTED_VALUE"""),"")</f>
        <v/>
      </c>
      <c r="L89" s="322" t="str">
        <f aca="false">IFERROR(__xludf.dummyfunction("""COMPUTED_VALUE"""),"")</f>
        <v/>
      </c>
      <c r="M89" s="322" t="str">
        <f aca="false">IFERROR(__xludf.dummyfunction("""COMPUTED_VALUE"""),"")</f>
        <v/>
      </c>
      <c r="N89" s="322" t="str">
        <f aca="false">IFERROR(__xludf.dummyfunction("""COMPUTED_VALUE"""),"")</f>
        <v/>
      </c>
      <c r="O89" s="322" t="str">
        <f aca="false">IFERROR(__xludf.dummyfunction("""COMPUTED_VALUE"""),"")</f>
        <v/>
      </c>
      <c r="P89" s="321" t="str">
        <f aca="false">IFERROR(__xludf.dummyfunction("""COMPUTED_VALUE"""),"")</f>
        <v/>
      </c>
      <c r="Q89" s="322" t="str">
        <f aca="false">IFERROR(__xludf.dummyfunction("""COMPUTED_VALUE"""),"")</f>
        <v/>
      </c>
      <c r="R89" s="322" t="str">
        <f aca="false">IFERROR(__xludf.dummyfunction("""COMPUTED_VALUE"""),"")</f>
        <v/>
      </c>
      <c r="S89" s="322" t="str">
        <f aca="false">IFERROR(__xludf.dummyfunction("""COMPUTED_VALUE"""),"")</f>
        <v/>
      </c>
      <c r="T89" s="321" t="str">
        <f aca="false">IFERROR(__xludf.dummyfunction("""COMPUTED_VALUE"""),"")</f>
        <v/>
      </c>
      <c r="U89" s="321" t="str">
        <f aca="false">IFERROR(__xludf.dummyfunction("""COMPUTED_VALUE"""),"")</f>
        <v/>
      </c>
      <c r="V89" s="321" t="str">
        <f aca="false">IFERROR(__xludf.dummyfunction("""COMPUTED_VALUE"""),"")</f>
        <v/>
      </c>
      <c r="W89" s="322" t="str">
        <f aca="false">IFERROR(__xludf.dummyfunction("""COMPUTED_VALUE"""),"")</f>
        <v/>
      </c>
      <c r="X89" s="321" t="str">
        <f aca="false">IFERROR(__xludf.dummyfunction("""COMPUTED_VALUE"""),"")</f>
        <v/>
      </c>
      <c r="Y89" s="321" t="str">
        <f aca="false">IFERROR(__xludf.dummyfunction("""COMPUTED_VALUE"""),"")</f>
        <v/>
      </c>
      <c r="Z89" s="175"/>
      <c r="AA89" s="175"/>
      <c r="AB89" s="175"/>
      <c r="AC89" s="175"/>
      <c r="AD89" s="175"/>
      <c r="AE89" s="175"/>
      <c r="AF89" s="175"/>
      <c r="AG89" s="175"/>
      <c r="AH89" s="175"/>
      <c r="AI89" s="175"/>
      <c r="AJ89" s="175"/>
    </row>
    <row r="90" customFormat="false" ht="15.75" hidden="false" customHeight="true" outlineLevel="0" collapsed="false">
      <c r="A90" s="80" t="n">
        <v>85</v>
      </c>
      <c r="B90" s="323" t="str">
        <f aca="false">IFERROR(__xludf.dummyfunction("""COMPUTED_VALUE"""),"")</f>
        <v/>
      </c>
      <c r="C90" s="321" t="str">
        <f aca="false">IFERROR(__xludf.dummyfunction("""COMPUTED_VALUE"""),"")</f>
        <v/>
      </c>
      <c r="D90" s="321" t="str">
        <f aca="false">IFERROR(__xludf.dummyfunction("""COMPUTED_VALUE"""),"")</f>
        <v/>
      </c>
      <c r="E90" s="321" t="str">
        <f aca="false">IFERROR(__xludf.dummyfunction("""COMPUTED_VALUE"""),"")</f>
        <v/>
      </c>
      <c r="F90" s="321" t="str">
        <f aca="false">IFERROR(__xludf.dummyfunction("""COMPUTED_VALUE"""),"")</f>
        <v/>
      </c>
      <c r="G90" s="321" t="str">
        <f aca="false">IFERROR(__xludf.dummyfunction("""COMPUTED_VALUE"""),"")</f>
        <v/>
      </c>
      <c r="H90" s="322" t="str">
        <f aca="false">IFERROR(__xludf.dummyfunction("""COMPUTED_VALUE"""),"")</f>
        <v/>
      </c>
      <c r="I90" s="321" t="str">
        <f aca="false">IFERROR(__xludf.dummyfunction("""COMPUTED_VALUE"""),"")</f>
        <v/>
      </c>
      <c r="J90" s="322" t="str">
        <f aca="false">IFERROR(__xludf.dummyfunction("""COMPUTED_VALUE"""),"")</f>
        <v/>
      </c>
      <c r="K90" s="322" t="str">
        <f aca="false">IFERROR(__xludf.dummyfunction("""COMPUTED_VALUE"""),"")</f>
        <v/>
      </c>
      <c r="L90" s="322" t="str">
        <f aca="false">IFERROR(__xludf.dummyfunction("""COMPUTED_VALUE"""),"")</f>
        <v/>
      </c>
      <c r="M90" s="322" t="str">
        <f aca="false">IFERROR(__xludf.dummyfunction("""COMPUTED_VALUE"""),"")</f>
        <v/>
      </c>
      <c r="N90" s="322" t="str">
        <f aca="false">IFERROR(__xludf.dummyfunction("""COMPUTED_VALUE"""),"")</f>
        <v/>
      </c>
      <c r="O90" s="322" t="str">
        <f aca="false">IFERROR(__xludf.dummyfunction("""COMPUTED_VALUE"""),"")</f>
        <v/>
      </c>
      <c r="P90" s="321" t="str">
        <f aca="false">IFERROR(__xludf.dummyfunction("""COMPUTED_VALUE"""),"")</f>
        <v/>
      </c>
      <c r="Q90" s="322" t="str">
        <f aca="false">IFERROR(__xludf.dummyfunction("""COMPUTED_VALUE"""),"")</f>
        <v/>
      </c>
      <c r="R90" s="322" t="str">
        <f aca="false">IFERROR(__xludf.dummyfunction("""COMPUTED_VALUE"""),"")</f>
        <v/>
      </c>
      <c r="S90" s="322" t="str">
        <f aca="false">IFERROR(__xludf.dummyfunction("""COMPUTED_VALUE"""),"")</f>
        <v/>
      </c>
      <c r="T90" s="321" t="str">
        <f aca="false">IFERROR(__xludf.dummyfunction("""COMPUTED_VALUE"""),"")</f>
        <v/>
      </c>
      <c r="U90" s="321" t="str">
        <f aca="false">IFERROR(__xludf.dummyfunction("""COMPUTED_VALUE"""),"")</f>
        <v/>
      </c>
      <c r="V90" s="321" t="str">
        <f aca="false">IFERROR(__xludf.dummyfunction("""COMPUTED_VALUE"""),"")</f>
        <v/>
      </c>
      <c r="W90" s="322" t="str">
        <f aca="false">IFERROR(__xludf.dummyfunction("""COMPUTED_VALUE"""),"")</f>
        <v/>
      </c>
      <c r="X90" s="321" t="str">
        <f aca="false">IFERROR(__xludf.dummyfunction("""COMPUTED_VALUE"""),"")</f>
        <v/>
      </c>
      <c r="Y90" s="321" t="str">
        <f aca="false">IFERROR(__xludf.dummyfunction("""COMPUTED_VALUE"""),"")</f>
        <v/>
      </c>
      <c r="Z90" s="175"/>
      <c r="AA90" s="175"/>
      <c r="AB90" s="175"/>
      <c r="AC90" s="175"/>
      <c r="AD90" s="175"/>
      <c r="AE90" s="175"/>
      <c r="AF90" s="175"/>
      <c r="AG90" s="175"/>
      <c r="AH90" s="175"/>
      <c r="AI90" s="175"/>
      <c r="AJ90" s="175"/>
    </row>
    <row r="91" customFormat="false" ht="15.75" hidden="false" customHeight="true" outlineLevel="0" collapsed="false">
      <c r="A91" s="80" t="n">
        <v>86</v>
      </c>
      <c r="B91" s="323" t="str">
        <f aca="false">IFERROR(__xludf.dummyfunction("""COMPUTED_VALUE"""),"")</f>
        <v/>
      </c>
      <c r="C91" s="321" t="str">
        <f aca="false">IFERROR(__xludf.dummyfunction("""COMPUTED_VALUE"""),"")</f>
        <v/>
      </c>
      <c r="D91" s="321" t="str">
        <f aca="false">IFERROR(__xludf.dummyfunction("""COMPUTED_VALUE"""),"")</f>
        <v/>
      </c>
      <c r="E91" s="321" t="str">
        <f aca="false">IFERROR(__xludf.dummyfunction("""COMPUTED_VALUE"""),"")</f>
        <v/>
      </c>
      <c r="F91" s="321" t="str">
        <f aca="false">IFERROR(__xludf.dummyfunction("""COMPUTED_VALUE"""),"")</f>
        <v/>
      </c>
      <c r="G91" s="321" t="str">
        <f aca="false">IFERROR(__xludf.dummyfunction("""COMPUTED_VALUE"""),"")</f>
        <v/>
      </c>
      <c r="H91" s="322" t="str">
        <f aca="false">IFERROR(__xludf.dummyfunction("""COMPUTED_VALUE"""),"")</f>
        <v/>
      </c>
      <c r="I91" s="321" t="str">
        <f aca="false">IFERROR(__xludf.dummyfunction("""COMPUTED_VALUE"""),"")</f>
        <v/>
      </c>
      <c r="J91" s="322" t="str">
        <f aca="false">IFERROR(__xludf.dummyfunction("""COMPUTED_VALUE"""),"")</f>
        <v/>
      </c>
      <c r="K91" s="322" t="str">
        <f aca="false">IFERROR(__xludf.dummyfunction("""COMPUTED_VALUE"""),"")</f>
        <v/>
      </c>
      <c r="L91" s="322" t="str">
        <f aca="false">IFERROR(__xludf.dummyfunction("""COMPUTED_VALUE"""),"")</f>
        <v/>
      </c>
      <c r="M91" s="322" t="str">
        <f aca="false">IFERROR(__xludf.dummyfunction("""COMPUTED_VALUE"""),"")</f>
        <v/>
      </c>
      <c r="N91" s="322" t="str">
        <f aca="false">IFERROR(__xludf.dummyfunction("""COMPUTED_VALUE"""),"")</f>
        <v/>
      </c>
      <c r="O91" s="322" t="str">
        <f aca="false">IFERROR(__xludf.dummyfunction("""COMPUTED_VALUE"""),"")</f>
        <v/>
      </c>
      <c r="P91" s="321" t="str">
        <f aca="false">IFERROR(__xludf.dummyfunction("""COMPUTED_VALUE"""),"")</f>
        <v/>
      </c>
      <c r="Q91" s="322" t="str">
        <f aca="false">IFERROR(__xludf.dummyfunction("""COMPUTED_VALUE"""),"")</f>
        <v/>
      </c>
      <c r="R91" s="322" t="str">
        <f aca="false">IFERROR(__xludf.dummyfunction("""COMPUTED_VALUE"""),"")</f>
        <v/>
      </c>
      <c r="S91" s="322" t="str">
        <f aca="false">IFERROR(__xludf.dummyfunction("""COMPUTED_VALUE"""),"")</f>
        <v/>
      </c>
      <c r="T91" s="321" t="str">
        <f aca="false">IFERROR(__xludf.dummyfunction("""COMPUTED_VALUE"""),"")</f>
        <v/>
      </c>
      <c r="U91" s="321" t="str">
        <f aca="false">IFERROR(__xludf.dummyfunction("""COMPUTED_VALUE"""),"")</f>
        <v/>
      </c>
      <c r="V91" s="321" t="str">
        <f aca="false">IFERROR(__xludf.dummyfunction("""COMPUTED_VALUE"""),"")</f>
        <v/>
      </c>
      <c r="W91" s="322" t="str">
        <f aca="false">IFERROR(__xludf.dummyfunction("""COMPUTED_VALUE"""),"")</f>
        <v/>
      </c>
      <c r="X91" s="321" t="str">
        <f aca="false">IFERROR(__xludf.dummyfunction("""COMPUTED_VALUE"""),"")</f>
        <v/>
      </c>
      <c r="Y91" s="321" t="str">
        <f aca="false">IFERROR(__xludf.dummyfunction("""COMPUTED_VALUE"""),"")</f>
        <v/>
      </c>
      <c r="Z91" s="175"/>
      <c r="AA91" s="175"/>
      <c r="AB91" s="175"/>
      <c r="AC91" s="175"/>
      <c r="AD91" s="175"/>
      <c r="AE91" s="175"/>
      <c r="AF91" s="175"/>
      <c r="AG91" s="175"/>
      <c r="AH91" s="175"/>
      <c r="AI91" s="175"/>
      <c r="AJ91" s="175"/>
    </row>
    <row r="92" customFormat="false" ht="15.75" hidden="false" customHeight="true" outlineLevel="0" collapsed="false">
      <c r="A92" s="80" t="n">
        <v>87</v>
      </c>
      <c r="B92" s="323" t="str">
        <f aca="false">IFERROR(__xludf.dummyfunction("""COMPUTED_VALUE"""),"")</f>
        <v/>
      </c>
      <c r="C92" s="321" t="str">
        <f aca="false">IFERROR(__xludf.dummyfunction("""COMPUTED_VALUE"""),"")</f>
        <v/>
      </c>
      <c r="D92" s="321" t="str">
        <f aca="false">IFERROR(__xludf.dummyfunction("""COMPUTED_VALUE"""),"")</f>
        <v/>
      </c>
      <c r="E92" s="321" t="str">
        <f aca="false">IFERROR(__xludf.dummyfunction("""COMPUTED_VALUE"""),"")</f>
        <v/>
      </c>
      <c r="F92" s="321" t="str">
        <f aca="false">IFERROR(__xludf.dummyfunction("""COMPUTED_VALUE"""),"")</f>
        <v/>
      </c>
      <c r="G92" s="321" t="str">
        <f aca="false">IFERROR(__xludf.dummyfunction("""COMPUTED_VALUE"""),"")</f>
        <v/>
      </c>
      <c r="H92" s="322" t="str">
        <f aca="false">IFERROR(__xludf.dummyfunction("""COMPUTED_VALUE"""),"")</f>
        <v/>
      </c>
      <c r="I92" s="321" t="str">
        <f aca="false">IFERROR(__xludf.dummyfunction("""COMPUTED_VALUE"""),"")</f>
        <v/>
      </c>
      <c r="J92" s="322" t="str">
        <f aca="false">IFERROR(__xludf.dummyfunction("""COMPUTED_VALUE"""),"")</f>
        <v/>
      </c>
      <c r="K92" s="322" t="str">
        <f aca="false">IFERROR(__xludf.dummyfunction("""COMPUTED_VALUE"""),"")</f>
        <v/>
      </c>
      <c r="L92" s="322" t="str">
        <f aca="false">IFERROR(__xludf.dummyfunction("""COMPUTED_VALUE"""),"")</f>
        <v/>
      </c>
      <c r="M92" s="322" t="str">
        <f aca="false">IFERROR(__xludf.dummyfunction("""COMPUTED_VALUE"""),"")</f>
        <v/>
      </c>
      <c r="N92" s="322" t="str">
        <f aca="false">IFERROR(__xludf.dummyfunction("""COMPUTED_VALUE"""),"")</f>
        <v/>
      </c>
      <c r="O92" s="322" t="str">
        <f aca="false">IFERROR(__xludf.dummyfunction("""COMPUTED_VALUE"""),"")</f>
        <v/>
      </c>
      <c r="P92" s="321" t="str">
        <f aca="false">IFERROR(__xludf.dummyfunction("""COMPUTED_VALUE"""),"")</f>
        <v/>
      </c>
      <c r="Q92" s="322" t="str">
        <f aca="false">IFERROR(__xludf.dummyfunction("""COMPUTED_VALUE"""),"")</f>
        <v/>
      </c>
      <c r="R92" s="322" t="str">
        <f aca="false">IFERROR(__xludf.dummyfunction("""COMPUTED_VALUE"""),"")</f>
        <v/>
      </c>
      <c r="S92" s="322" t="str">
        <f aca="false">IFERROR(__xludf.dummyfunction("""COMPUTED_VALUE"""),"")</f>
        <v/>
      </c>
      <c r="T92" s="321" t="str">
        <f aca="false">IFERROR(__xludf.dummyfunction("""COMPUTED_VALUE"""),"")</f>
        <v/>
      </c>
      <c r="U92" s="321" t="str">
        <f aca="false">IFERROR(__xludf.dummyfunction("""COMPUTED_VALUE"""),"")</f>
        <v/>
      </c>
      <c r="V92" s="321" t="str">
        <f aca="false">IFERROR(__xludf.dummyfunction("""COMPUTED_VALUE"""),"")</f>
        <v/>
      </c>
      <c r="W92" s="322" t="str">
        <f aca="false">IFERROR(__xludf.dummyfunction("""COMPUTED_VALUE"""),"")</f>
        <v/>
      </c>
      <c r="X92" s="321" t="str">
        <f aca="false">IFERROR(__xludf.dummyfunction("""COMPUTED_VALUE"""),"")</f>
        <v/>
      </c>
      <c r="Y92" s="321" t="str">
        <f aca="false">IFERROR(__xludf.dummyfunction("""COMPUTED_VALUE"""),"")</f>
        <v/>
      </c>
      <c r="Z92" s="175"/>
      <c r="AA92" s="175"/>
      <c r="AB92" s="175"/>
      <c r="AC92" s="175"/>
      <c r="AD92" s="175"/>
      <c r="AE92" s="175"/>
      <c r="AF92" s="175"/>
      <c r="AG92" s="175"/>
      <c r="AH92" s="175"/>
      <c r="AI92" s="175"/>
      <c r="AJ92" s="175"/>
    </row>
    <row r="93" customFormat="false" ht="15.75" hidden="false" customHeight="true" outlineLevel="0" collapsed="false">
      <c r="A93" s="80" t="n">
        <v>88</v>
      </c>
      <c r="B93" s="323" t="str">
        <f aca="false">IFERROR(__xludf.dummyfunction("""COMPUTED_VALUE"""),"")</f>
        <v/>
      </c>
      <c r="C93" s="321" t="str">
        <f aca="false">IFERROR(__xludf.dummyfunction("""COMPUTED_VALUE"""),"")</f>
        <v/>
      </c>
      <c r="D93" s="321" t="str">
        <f aca="false">IFERROR(__xludf.dummyfunction("""COMPUTED_VALUE"""),"")</f>
        <v/>
      </c>
      <c r="E93" s="321" t="str">
        <f aca="false">IFERROR(__xludf.dummyfunction("""COMPUTED_VALUE"""),"")</f>
        <v/>
      </c>
      <c r="F93" s="321" t="str">
        <f aca="false">IFERROR(__xludf.dummyfunction("""COMPUTED_VALUE"""),"")</f>
        <v/>
      </c>
      <c r="G93" s="321" t="str">
        <f aca="false">IFERROR(__xludf.dummyfunction("""COMPUTED_VALUE"""),"")</f>
        <v/>
      </c>
      <c r="H93" s="322" t="str">
        <f aca="false">IFERROR(__xludf.dummyfunction("""COMPUTED_VALUE"""),"")</f>
        <v/>
      </c>
      <c r="I93" s="321" t="str">
        <f aca="false">IFERROR(__xludf.dummyfunction("""COMPUTED_VALUE"""),"")</f>
        <v/>
      </c>
      <c r="J93" s="322" t="str">
        <f aca="false">IFERROR(__xludf.dummyfunction("""COMPUTED_VALUE"""),"")</f>
        <v/>
      </c>
      <c r="K93" s="322" t="str">
        <f aca="false">IFERROR(__xludf.dummyfunction("""COMPUTED_VALUE"""),"")</f>
        <v/>
      </c>
      <c r="L93" s="322" t="str">
        <f aca="false">IFERROR(__xludf.dummyfunction("""COMPUTED_VALUE"""),"")</f>
        <v/>
      </c>
      <c r="M93" s="322" t="str">
        <f aca="false">IFERROR(__xludf.dummyfunction("""COMPUTED_VALUE"""),"")</f>
        <v/>
      </c>
      <c r="N93" s="322" t="str">
        <f aca="false">IFERROR(__xludf.dummyfunction("""COMPUTED_VALUE"""),"")</f>
        <v/>
      </c>
      <c r="O93" s="322" t="str">
        <f aca="false">IFERROR(__xludf.dummyfunction("""COMPUTED_VALUE"""),"")</f>
        <v/>
      </c>
      <c r="P93" s="321" t="str">
        <f aca="false">IFERROR(__xludf.dummyfunction("""COMPUTED_VALUE"""),"")</f>
        <v/>
      </c>
      <c r="Q93" s="322" t="str">
        <f aca="false">IFERROR(__xludf.dummyfunction("""COMPUTED_VALUE"""),"")</f>
        <v/>
      </c>
      <c r="R93" s="322" t="str">
        <f aca="false">IFERROR(__xludf.dummyfunction("""COMPUTED_VALUE"""),"")</f>
        <v/>
      </c>
      <c r="S93" s="322" t="str">
        <f aca="false">IFERROR(__xludf.dummyfunction("""COMPUTED_VALUE"""),"")</f>
        <v/>
      </c>
      <c r="T93" s="321" t="str">
        <f aca="false">IFERROR(__xludf.dummyfunction("""COMPUTED_VALUE"""),"")</f>
        <v/>
      </c>
      <c r="U93" s="321" t="str">
        <f aca="false">IFERROR(__xludf.dummyfunction("""COMPUTED_VALUE"""),"")</f>
        <v/>
      </c>
      <c r="V93" s="321" t="str">
        <f aca="false">IFERROR(__xludf.dummyfunction("""COMPUTED_VALUE"""),"")</f>
        <v/>
      </c>
      <c r="W93" s="322" t="str">
        <f aca="false">IFERROR(__xludf.dummyfunction("""COMPUTED_VALUE"""),"")</f>
        <v/>
      </c>
      <c r="X93" s="321" t="str">
        <f aca="false">IFERROR(__xludf.dummyfunction("""COMPUTED_VALUE"""),"")</f>
        <v/>
      </c>
      <c r="Y93" s="321" t="str">
        <f aca="false">IFERROR(__xludf.dummyfunction("""COMPUTED_VALUE"""),"")</f>
        <v/>
      </c>
      <c r="Z93" s="175"/>
      <c r="AA93" s="175"/>
      <c r="AB93" s="175"/>
      <c r="AC93" s="175"/>
      <c r="AD93" s="175"/>
      <c r="AE93" s="175"/>
      <c r="AF93" s="175"/>
      <c r="AG93" s="175"/>
      <c r="AH93" s="175"/>
      <c r="AI93" s="175"/>
      <c r="AJ93" s="175"/>
    </row>
    <row r="94" customFormat="false" ht="15.75" hidden="false" customHeight="true" outlineLevel="0" collapsed="false">
      <c r="A94" s="80" t="n">
        <v>89</v>
      </c>
      <c r="B94" s="323" t="str">
        <f aca="false">IFERROR(__xludf.dummyfunction("""COMPUTED_VALUE"""),"")</f>
        <v/>
      </c>
      <c r="C94" s="321" t="str">
        <f aca="false">IFERROR(__xludf.dummyfunction("""COMPUTED_VALUE"""),"")</f>
        <v/>
      </c>
      <c r="D94" s="321" t="str">
        <f aca="false">IFERROR(__xludf.dummyfunction("""COMPUTED_VALUE"""),"")</f>
        <v/>
      </c>
      <c r="E94" s="321" t="str">
        <f aca="false">IFERROR(__xludf.dummyfunction("""COMPUTED_VALUE"""),"")</f>
        <v/>
      </c>
      <c r="F94" s="321" t="str">
        <f aca="false">IFERROR(__xludf.dummyfunction("""COMPUTED_VALUE"""),"")</f>
        <v/>
      </c>
      <c r="G94" s="321" t="str">
        <f aca="false">IFERROR(__xludf.dummyfunction("""COMPUTED_VALUE"""),"")</f>
        <v/>
      </c>
      <c r="H94" s="322" t="str">
        <f aca="false">IFERROR(__xludf.dummyfunction("""COMPUTED_VALUE"""),"")</f>
        <v/>
      </c>
      <c r="I94" s="321" t="str">
        <f aca="false">IFERROR(__xludf.dummyfunction("""COMPUTED_VALUE"""),"")</f>
        <v/>
      </c>
      <c r="J94" s="322" t="str">
        <f aca="false">IFERROR(__xludf.dummyfunction("""COMPUTED_VALUE"""),"")</f>
        <v/>
      </c>
      <c r="K94" s="322" t="str">
        <f aca="false">IFERROR(__xludf.dummyfunction("""COMPUTED_VALUE"""),"")</f>
        <v/>
      </c>
      <c r="L94" s="322" t="str">
        <f aca="false">IFERROR(__xludf.dummyfunction("""COMPUTED_VALUE"""),"")</f>
        <v/>
      </c>
      <c r="M94" s="322" t="str">
        <f aca="false">IFERROR(__xludf.dummyfunction("""COMPUTED_VALUE"""),"")</f>
        <v/>
      </c>
      <c r="N94" s="322" t="str">
        <f aca="false">IFERROR(__xludf.dummyfunction("""COMPUTED_VALUE"""),"")</f>
        <v/>
      </c>
      <c r="O94" s="322" t="str">
        <f aca="false">IFERROR(__xludf.dummyfunction("""COMPUTED_VALUE"""),"")</f>
        <v/>
      </c>
      <c r="P94" s="321" t="str">
        <f aca="false">IFERROR(__xludf.dummyfunction("""COMPUTED_VALUE"""),"")</f>
        <v/>
      </c>
      <c r="Q94" s="322" t="str">
        <f aca="false">IFERROR(__xludf.dummyfunction("""COMPUTED_VALUE"""),"")</f>
        <v/>
      </c>
      <c r="R94" s="322" t="str">
        <f aca="false">IFERROR(__xludf.dummyfunction("""COMPUTED_VALUE"""),"")</f>
        <v/>
      </c>
      <c r="S94" s="322" t="str">
        <f aca="false">IFERROR(__xludf.dummyfunction("""COMPUTED_VALUE"""),"")</f>
        <v/>
      </c>
      <c r="T94" s="321" t="str">
        <f aca="false">IFERROR(__xludf.dummyfunction("""COMPUTED_VALUE"""),"")</f>
        <v/>
      </c>
      <c r="U94" s="321" t="str">
        <f aca="false">IFERROR(__xludf.dummyfunction("""COMPUTED_VALUE"""),"")</f>
        <v/>
      </c>
      <c r="V94" s="321" t="str">
        <f aca="false">IFERROR(__xludf.dummyfunction("""COMPUTED_VALUE"""),"")</f>
        <v/>
      </c>
      <c r="W94" s="322" t="str">
        <f aca="false">IFERROR(__xludf.dummyfunction("""COMPUTED_VALUE"""),"")</f>
        <v/>
      </c>
      <c r="X94" s="321" t="str">
        <f aca="false">IFERROR(__xludf.dummyfunction("""COMPUTED_VALUE"""),"")</f>
        <v/>
      </c>
      <c r="Y94" s="321" t="str">
        <f aca="false">IFERROR(__xludf.dummyfunction("""COMPUTED_VALUE"""),"")</f>
        <v/>
      </c>
      <c r="Z94" s="175"/>
      <c r="AA94" s="175"/>
      <c r="AB94" s="175"/>
      <c r="AC94" s="175"/>
      <c r="AD94" s="175"/>
      <c r="AE94" s="175"/>
      <c r="AF94" s="175"/>
      <c r="AG94" s="175"/>
      <c r="AH94" s="175"/>
      <c r="AI94" s="175"/>
      <c r="AJ94" s="175"/>
    </row>
    <row r="95" customFormat="false" ht="15.75" hidden="false" customHeight="true" outlineLevel="0" collapsed="false">
      <c r="A95" s="80" t="n">
        <v>90</v>
      </c>
      <c r="B95" s="323" t="str">
        <f aca="false">IFERROR(__xludf.dummyfunction("""COMPUTED_VALUE"""),"")</f>
        <v/>
      </c>
      <c r="C95" s="321" t="str">
        <f aca="false">IFERROR(__xludf.dummyfunction("""COMPUTED_VALUE"""),"")</f>
        <v/>
      </c>
      <c r="D95" s="321" t="str">
        <f aca="false">IFERROR(__xludf.dummyfunction("""COMPUTED_VALUE"""),"")</f>
        <v/>
      </c>
      <c r="E95" s="321" t="str">
        <f aca="false">IFERROR(__xludf.dummyfunction("""COMPUTED_VALUE"""),"")</f>
        <v/>
      </c>
      <c r="F95" s="321" t="str">
        <f aca="false">IFERROR(__xludf.dummyfunction("""COMPUTED_VALUE"""),"")</f>
        <v/>
      </c>
      <c r="G95" s="321" t="str">
        <f aca="false">IFERROR(__xludf.dummyfunction("""COMPUTED_VALUE"""),"")</f>
        <v/>
      </c>
      <c r="H95" s="322" t="str">
        <f aca="false">IFERROR(__xludf.dummyfunction("""COMPUTED_VALUE"""),"")</f>
        <v/>
      </c>
      <c r="I95" s="321" t="str">
        <f aca="false">IFERROR(__xludf.dummyfunction("""COMPUTED_VALUE"""),"")</f>
        <v/>
      </c>
      <c r="J95" s="322" t="str">
        <f aca="false">IFERROR(__xludf.dummyfunction("""COMPUTED_VALUE"""),"")</f>
        <v/>
      </c>
      <c r="K95" s="322" t="str">
        <f aca="false">IFERROR(__xludf.dummyfunction("""COMPUTED_VALUE"""),"")</f>
        <v/>
      </c>
      <c r="L95" s="322" t="str">
        <f aca="false">IFERROR(__xludf.dummyfunction("""COMPUTED_VALUE"""),"")</f>
        <v/>
      </c>
      <c r="M95" s="322" t="str">
        <f aca="false">IFERROR(__xludf.dummyfunction("""COMPUTED_VALUE"""),"")</f>
        <v/>
      </c>
      <c r="N95" s="322" t="str">
        <f aca="false">IFERROR(__xludf.dummyfunction("""COMPUTED_VALUE"""),"")</f>
        <v/>
      </c>
      <c r="O95" s="322" t="str">
        <f aca="false">IFERROR(__xludf.dummyfunction("""COMPUTED_VALUE"""),"")</f>
        <v/>
      </c>
      <c r="P95" s="321" t="str">
        <f aca="false">IFERROR(__xludf.dummyfunction("""COMPUTED_VALUE"""),"")</f>
        <v/>
      </c>
      <c r="Q95" s="322" t="str">
        <f aca="false">IFERROR(__xludf.dummyfunction("""COMPUTED_VALUE"""),"")</f>
        <v/>
      </c>
      <c r="R95" s="322" t="str">
        <f aca="false">IFERROR(__xludf.dummyfunction("""COMPUTED_VALUE"""),"")</f>
        <v/>
      </c>
      <c r="S95" s="322" t="str">
        <f aca="false">IFERROR(__xludf.dummyfunction("""COMPUTED_VALUE"""),"")</f>
        <v/>
      </c>
      <c r="T95" s="321" t="str">
        <f aca="false">IFERROR(__xludf.dummyfunction("""COMPUTED_VALUE"""),"")</f>
        <v/>
      </c>
      <c r="U95" s="321" t="str">
        <f aca="false">IFERROR(__xludf.dummyfunction("""COMPUTED_VALUE"""),"")</f>
        <v/>
      </c>
      <c r="V95" s="321" t="str">
        <f aca="false">IFERROR(__xludf.dummyfunction("""COMPUTED_VALUE"""),"")</f>
        <v/>
      </c>
      <c r="W95" s="322" t="str">
        <f aca="false">IFERROR(__xludf.dummyfunction("""COMPUTED_VALUE"""),"")</f>
        <v/>
      </c>
      <c r="X95" s="321" t="str">
        <f aca="false">IFERROR(__xludf.dummyfunction("""COMPUTED_VALUE"""),"")</f>
        <v/>
      </c>
      <c r="Y95" s="321" t="str">
        <f aca="false">IFERROR(__xludf.dummyfunction("""COMPUTED_VALUE"""),"")</f>
        <v/>
      </c>
      <c r="Z95" s="175"/>
      <c r="AA95" s="175"/>
      <c r="AB95" s="175"/>
      <c r="AC95" s="175"/>
      <c r="AD95" s="175"/>
      <c r="AE95" s="175"/>
      <c r="AF95" s="175"/>
      <c r="AG95" s="175"/>
      <c r="AH95" s="175"/>
      <c r="AI95" s="175"/>
      <c r="AJ95" s="175"/>
    </row>
    <row r="96" customFormat="false" ht="15.75" hidden="false" customHeight="true" outlineLevel="0" collapsed="false">
      <c r="A96" s="80" t="n">
        <v>91</v>
      </c>
      <c r="B96" s="323" t="str">
        <f aca="false">IFERROR(__xludf.dummyfunction("""COMPUTED_VALUE"""),"")</f>
        <v/>
      </c>
      <c r="C96" s="321" t="str">
        <f aca="false">IFERROR(__xludf.dummyfunction("""COMPUTED_VALUE"""),"")</f>
        <v/>
      </c>
      <c r="D96" s="321" t="str">
        <f aca="false">IFERROR(__xludf.dummyfunction("""COMPUTED_VALUE"""),"")</f>
        <v/>
      </c>
      <c r="E96" s="321" t="str">
        <f aca="false">IFERROR(__xludf.dummyfunction("""COMPUTED_VALUE"""),"")</f>
        <v/>
      </c>
      <c r="F96" s="321" t="str">
        <f aca="false">IFERROR(__xludf.dummyfunction("""COMPUTED_VALUE"""),"")</f>
        <v/>
      </c>
      <c r="G96" s="321" t="str">
        <f aca="false">IFERROR(__xludf.dummyfunction("""COMPUTED_VALUE"""),"")</f>
        <v/>
      </c>
      <c r="H96" s="322" t="str">
        <f aca="false">IFERROR(__xludf.dummyfunction("""COMPUTED_VALUE"""),"")</f>
        <v/>
      </c>
      <c r="I96" s="321" t="str">
        <f aca="false">IFERROR(__xludf.dummyfunction("""COMPUTED_VALUE"""),"")</f>
        <v/>
      </c>
      <c r="J96" s="322" t="str">
        <f aca="false">IFERROR(__xludf.dummyfunction("""COMPUTED_VALUE"""),"")</f>
        <v/>
      </c>
      <c r="K96" s="322" t="str">
        <f aca="false">IFERROR(__xludf.dummyfunction("""COMPUTED_VALUE"""),"")</f>
        <v/>
      </c>
      <c r="L96" s="322" t="str">
        <f aca="false">IFERROR(__xludf.dummyfunction("""COMPUTED_VALUE"""),"")</f>
        <v/>
      </c>
      <c r="M96" s="322" t="str">
        <f aca="false">IFERROR(__xludf.dummyfunction("""COMPUTED_VALUE"""),"")</f>
        <v/>
      </c>
      <c r="N96" s="322" t="str">
        <f aca="false">IFERROR(__xludf.dummyfunction("""COMPUTED_VALUE"""),"")</f>
        <v/>
      </c>
      <c r="O96" s="322" t="str">
        <f aca="false">IFERROR(__xludf.dummyfunction("""COMPUTED_VALUE"""),"")</f>
        <v/>
      </c>
      <c r="P96" s="321" t="str">
        <f aca="false">IFERROR(__xludf.dummyfunction("""COMPUTED_VALUE"""),"")</f>
        <v/>
      </c>
      <c r="Q96" s="322" t="str">
        <f aca="false">IFERROR(__xludf.dummyfunction("""COMPUTED_VALUE"""),"")</f>
        <v/>
      </c>
      <c r="R96" s="322" t="str">
        <f aca="false">IFERROR(__xludf.dummyfunction("""COMPUTED_VALUE"""),"")</f>
        <v/>
      </c>
      <c r="S96" s="322" t="str">
        <f aca="false">IFERROR(__xludf.dummyfunction("""COMPUTED_VALUE"""),"")</f>
        <v/>
      </c>
      <c r="T96" s="321" t="str">
        <f aca="false">IFERROR(__xludf.dummyfunction("""COMPUTED_VALUE"""),"")</f>
        <v/>
      </c>
      <c r="U96" s="321" t="str">
        <f aca="false">IFERROR(__xludf.dummyfunction("""COMPUTED_VALUE"""),"")</f>
        <v/>
      </c>
      <c r="V96" s="321" t="str">
        <f aca="false">IFERROR(__xludf.dummyfunction("""COMPUTED_VALUE"""),"")</f>
        <v/>
      </c>
      <c r="W96" s="322" t="str">
        <f aca="false">IFERROR(__xludf.dummyfunction("""COMPUTED_VALUE"""),"")</f>
        <v/>
      </c>
      <c r="X96" s="321" t="str">
        <f aca="false">IFERROR(__xludf.dummyfunction("""COMPUTED_VALUE"""),"")</f>
        <v/>
      </c>
      <c r="Y96" s="321" t="str">
        <f aca="false">IFERROR(__xludf.dummyfunction("""COMPUTED_VALUE"""),"")</f>
        <v/>
      </c>
      <c r="Z96" s="175"/>
      <c r="AA96" s="175"/>
      <c r="AB96" s="175"/>
      <c r="AC96" s="175"/>
      <c r="AD96" s="175"/>
      <c r="AE96" s="175"/>
      <c r="AF96" s="175"/>
      <c r="AG96" s="175"/>
      <c r="AH96" s="175"/>
      <c r="AI96" s="175"/>
      <c r="AJ96" s="175"/>
    </row>
    <row r="97" customFormat="false" ht="15.75" hidden="false" customHeight="true" outlineLevel="0" collapsed="false">
      <c r="A97" s="80" t="n">
        <v>92</v>
      </c>
      <c r="B97" s="323" t="str">
        <f aca="false">IFERROR(__xludf.dummyfunction("""COMPUTED_VALUE"""),"")</f>
        <v/>
      </c>
      <c r="C97" s="321" t="str">
        <f aca="false">IFERROR(__xludf.dummyfunction("""COMPUTED_VALUE"""),"")</f>
        <v/>
      </c>
      <c r="D97" s="321" t="str">
        <f aca="false">IFERROR(__xludf.dummyfunction("""COMPUTED_VALUE"""),"")</f>
        <v/>
      </c>
      <c r="E97" s="321" t="str">
        <f aca="false">IFERROR(__xludf.dummyfunction("""COMPUTED_VALUE"""),"")</f>
        <v/>
      </c>
      <c r="F97" s="321" t="str">
        <f aca="false">IFERROR(__xludf.dummyfunction("""COMPUTED_VALUE"""),"")</f>
        <v/>
      </c>
      <c r="G97" s="321" t="str">
        <f aca="false">IFERROR(__xludf.dummyfunction("""COMPUTED_VALUE"""),"")</f>
        <v/>
      </c>
      <c r="H97" s="322" t="str">
        <f aca="false">IFERROR(__xludf.dummyfunction("""COMPUTED_VALUE"""),"")</f>
        <v/>
      </c>
      <c r="I97" s="321" t="str">
        <f aca="false">IFERROR(__xludf.dummyfunction("""COMPUTED_VALUE"""),"")</f>
        <v/>
      </c>
      <c r="J97" s="322" t="str">
        <f aca="false">IFERROR(__xludf.dummyfunction("""COMPUTED_VALUE"""),"")</f>
        <v/>
      </c>
      <c r="K97" s="322" t="str">
        <f aca="false">IFERROR(__xludf.dummyfunction("""COMPUTED_VALUE"""),"")</f>
        <v/>
      </c>
      <c r="L97" s="322" t="str">
        <f aca="false">IFERROR(__xludf.dummyfunction("""COMPUTED_VALUE"""),"")</f>
        <v/>
      </c>
      <c r="M97" s="322" t="str">
        <f aca="false">IFERROR(__xludf.dummyfunction("""COMPUTED_VALUE"""),"")</f>
        <v/>
      </c>
      <c r="N97" s="322" t="str">
        <f aca="false">IFERROR(__xludf.dummyfunction("""COMPUTED_VALUE"""),"")</f>
        <v/>
      </c>
      <c r="O97" s="322" t="str">
        <f aca="false">IFERROR(__xludf.dummyfunction("""COMPUTED_VALUE"""),"")</f>
        <v/>
      </c>
      <c r="P97" s="321" t="str">
        <f aca="false">IFERROR(__xludf.dummyfunction("""COMPUTED_VALUE"""),"")</f>
        <v/>
      </c>
      <c r="Q97" s="322" t="str">
        <f aca="false">IFERROR(__xludf.dummyfunction("""COMPUTED_VALUE"""),"")</f>
        <v/>
      </c>
      <c r="R97" s="322" t="str">
        <f aca="false">IFERROR(__xludf.dummyfunction("""COMPUTED_VALUE"""),"")</f>
        <v/>
      </c>
      <c r="S97" s="322" t="str">
        <f aca="false">IFERROR(__xludf.dummyfunction("""COMPUTED_VALUE"""),"")</f>
        <v/>
      </c>
      <c r="T97" s="321" t="str">
        <f aca="false">IFERROR(__xludf.dummyfunction("""COMPUTED_VALUE"""),"")</f>
        <v/>
      </c>
      <c r="U97" s="321" t="str">
        <f aca="false">IFERROR(__xludf.dummyfunction("""COMPUTED_VALUE"""),"")</f>
        <v/>
      </c>
      <c r="V97" s="321" t="str">
        <f aca="false">IFERROR(__xludf.dummyfunction("""COMPUTED_VALUE"""),"")</f>
        <v/>
      </c>
      <c r="W97" s="322" t="str">
        <f aca="false">IFERROR(__xludf.dummyfunction("""COMPUTED_VALUE"""),"")</f>
        <v/>
      </c>
      <c r="X97" s="321" t="str">
        <f aca="false">IFERROR(__xludf.dummyfunction("""COMPUTED_VALUE"""),"")</f>
        <v/>
      </c>
      <c r="Y97" s="321" t="str">
        <f aca="false">IFERROR(__xludf.dummyfunction("""COMPUTED_VALUE"""),"")</f>
        <v/>
      </c>
      <c r="Z97" s="175"/>
      <c r="AA97" s="175"/>
      <c r="AB97" s="175"/>
      <c r="AC97" s="175"/>
      <c r="AD97" s="175"/>
      <c r="AE97" s="175"/>
      <c r="AF97" s="175"/>
      <c r="AG97" s="175"/>
      <c r="AH97" s="175"/>
      <c r="AI97" s="175"/>
      <c r="AJ97" s="175"/>
    </row>
    <row r="98" customFormat="false" ht="15.75" hidden="false" customHeight="true" outlineLevel="0" collapsed="false">
      <c r="A98" s="80" t="n">
        <v>93</v>
      </c>
      <c r="B98" s="323" t="str">
        <f aca="false">IFERROR(__xludf.dummyfunction("""COMPUTED_VALUE"""),"")</f>
        <v/>
      </c>
      <c r="C98" s="321" t="str">
        <f aca="false">IFERROR(__xludf.dummyfunction("""COMPUTED_VALUE"""),"")</f>
        <v/>
      </c>
      <c r="D98" s="321" t="str">
        <f aca="false">IFERROR(__xludf.dummyfunction("""COMPUTED_VALUE"""),"")</f>
        <v/>
      </c>
      <c r="E98" s="321" t="str">
        <f aca="false">IFERROR(__xludf.dummyfunction("""COMPUTED_VALUE"""),"")</f>
        <v/>
      </c>
      <c r="F98" s="321" t="str">
        <f aca="false">IFERROR(__xludf.dummyfunction("""COMPUTED_VALUE"""),"")</f>
        <v/>
      </c>
      <c r="G98" s="321" t="str">
        <f aca="false">IFERROR(__xludf.dummyfunction("""COMPUTED_VALUE"""),"")</f>
        <v/>
      </c>
      <c r="H98" s="322" t="str">
        <f aca="false">IFERROR(__xludf.dummyfunction("""COMPUTED_VALUE"""),"")</f>
        <v/>
      </c>
      <c r="I98" s="321" t="str">
        <f aca="false">IFERROR(__xludf.dummyfunction("""COMPUTED_VALUE"""),"")</f>
        <v/>
      </c>
      <c r="J98" s="322" t="str">
        <f aca="false">IFERROR(__xludf.dummyfunction("""COMPUTED_VALUE"""),"")</f>
        <v/>
      </c>
      <c r="K98" s="322" t="str">
        <f aca="false">IFERROR(__xludf.dummyfunction("""COMPUTED_VALUE"""),"")</f>
        <v/>
      </c>
      <c r="L98" s="322" t="str">
        <f aca="false">IFERROR(__xludf.dummyfunction("""COMPUTED_VALUE"""),"")</f>
        <v/>
      </c>
      <c r="M98" s="322" t="str">
        <f aca="false">IFERROR(__xludf.dummyfunction("""COMPUTED_VALUE"""),"")</f>
        <v/>
      </c>
      <c r="N98" s="322" t="str">
        <f aca="false">IFERROR(__xludf.dummyfunction("""COMPUTED_VALUE"""),"")</f>
        <v/>
      </c>
      <c r="O98" s="322" t="str">
        <f aca="false">IFERROR(__xludf.dummyfunction("""COMPUTED_VALUE"""),"")</f>
        <v/>
      </c>
      <c r="P98" s="321" t="str">
        <f aca="false">IFERROR(__xludf.dummyfunction("""COMPUTED_VALUE"""),"")</f>
        <v/>
      </c>
      <c r="Q98" s="322" t="str">
        <f aca="false">IFERROR(__xludf.dummyfunction("""COMPUTED_VALUE"""),"")</f>
        <v/>
      </c>
      <c r="R98" s="322" t="str">
        <f aca="false">IFERROR(__xludf.dummyfunction("""COMPUTED_VALUE"""),"")</f>
        <v/>
      </c>
      <c r="S98" s="322" t="str">
        <f aca="false">IFERROR(__xludf.dummyfunction("""COMPUTED_VALUE"""),"")</f>
        <v/>
      </c>
      <c r="T98" s="321" t="str">
        <f aca="false">IFERROR(__xludf.dummyfunction("""COMPUTED_VALUE"""),"")</f>
        <v/>
      </c>
      <c r="U98" s="321" t="str">
        <f aca="false">IFERROR(__xludf.dummyfunction("""COMPUTED_VALUE"""),"")</f>
        <v/>
      </c>
      <c r="V98" s="321" t="str">
        <f aca="false">IFERROR(__xludf.dummyfunction("""COMPUTED_VALUE"""),"")</f>
        <v/>
      </c>
      <c r="W98" s="322" t="str">
        <f aca="false">IFERROR(__xludf.dummyfunction("""COMPUTED_VALUE"""),"")</f>
        <v/>
      </c>
      <c r="X98" s="321" t="str">
        <f aca="false">IFERROR(__xludf.dummyfunction("""COMPUTED_VALUE"""),"")</f>
        <v/>
      </c>
      <c r="Y98" s="321" t="str">
        <f aca="false">IFERROR(__xludf.dummyfunction("""COMPUTED_VALUE"""),"")</f>
        <v/>
      </c>
      <c r="Z98" s="175"/>
      <c r="AA98" s="175"/>
      <c r="AB98" s="175"/>
      <c r="AC98" s="175"/>
      <c r="AD98" s="175"/>
      <c r="AE98" s="175"/>
      <c r="AF98" s="175"/>
      <c r="AG98" s="175"/>
      <c r="AH98" s="175"/>
      <c r="AI98" s="175"/>
      <c r="AJ98" s="175"/>
    </row>
    <row r="99" customFormat="false" ht="15.75" hidden="false" customHeight="true" outlineLevel="0" collapsed="false">
      <c r="A99" s="80" t="n">
        <v>94</v>
      </c>
      <c r="B99" s="323" t="str">
        <f aca="false">IFERROR(__xludf.dummyfunction("""COMPUTED_VALUE"""),"")</f>
        <v/>
      </c>
      <c r="C99" s="321" t="str">
        <f aca="false">IFERROR(__xludf.dummyfunction("""COMPUTED_VALUE"""),"")</f>
        <v/>
      </c>
      <c r="D99" s="321" t="str">
        <f aca="false">IFERROR(__xludf.dummyfunction("""COMPUTED_VALUE"""),"")</f>
        <v/>
      </c>
      <c r="E99" s="321" t="str">
        <f aca="false">IFERROR(__xludf.dummyfunction("""COMPUTED_VALUE"""),"")</f>
        <v/>
      </c>
      <c r="F99" s="321" t="str">
        <f aca="false">IFERROR(__xludf.dummyfunction("""COMPUTED_VALUE"""),"")</f>
        <v/>
      </c>
      <c r="G99" s="321" t="str">
        <f aca="false">IFERROR(__xludf.dummyfunction("""COMPUTED_VALUE"""),"")</f>
        <v/>
      </c>
      <c r="H99" s="322" t="str">
        <f aca="false">IFERROR(__xludf.dummyfunction("""COMPUTED_VALUE"""),"")</f>
        <v/>
      </c>
      <c r="I99" s="321" t="str">
        <f aca="false">IFERROR(__xludf.dummyfunction("""COMPUTED_VALUE"""),"")</f>
        <v/>
      </c>
      <c r="J99" s="322" t="str">
        <f aca="false">IFERROR(__xludf.dummyfunction("""COMPUTED_VALUE"""),"")</f>
        <v/>
      </c>
      <c r="K99" s="322" t="str">
        <f aca="false">IFERROR(__xludf.dummyfunction("""COMPUTED_VALUE"""),"")</f>
        <v/>
      </c>
      <c r="L99" s="322" t="str">
        <f aca="false">IFERROR(__xludf.dummyfunction("""COMPUTED_VALUE"""),"")</f>
        <v/>
      </c>
      <c r="M99" s="322" t="str">
        <f aca="false">IFERROR(__xludf.dummyfunction("""COMPUTED_VALUE"""),"")</f>
        <v/>
      </c>
      <c r="N99" s="322" t="str">
        <f aca="false">IFERROR(__xludf.dummyfunction("""COMPUTED_VALUE"""),"")</f>
        <v/>
      </c>
      <c r="O99" s="322" t="str">
        <f aca="false">IFERROR(__xludf.dummyfunction("""COMPUTED_VALUE"""),"")</f>
        <v/>
      </c>
      <c r="P99" s="321" t="str">
        <f aca="false">IFERROR(__xludf.dummyfunction("""COMPUTED_VALUE"""),"")</f>
        <v/>
      </c>
      <c r="Q99" s="322" t="str">
        <f aca="false">IFERROR(__xludf.dummyfunction("""COMPUTED_VALUE"""),"")</f>
        <v/>
      </c>
      <c r="R99" s="322" t="str">
        <f aca="false">IFERROR(__xludf.dummyfunction("""COMPUTED_VALUE"""),"")</f>
        <v/>
      </c>
      <c r="S99" s="322" t="str">
        <f aca="false">IFERROR(__xludf.dummyfunction("""COMPUTED_VALUE"""),"")</f>
        <v/>
      </c>
      <c r="T99" s="321" t="str">
        <f aca="false">IFERROR(__xludf.dummyfunction("""COMPUTED_VALUE"""),"")</f>
        <v/>
      </c>
      <c r="U99" s="321" t="str">
        <f aca="false">IFERROR(__xludf.dummyfunction("""COMPUTED_VALUE"""),"")</f>
        <v/>
      </c>
      <c r="V99" s="321" t="str">
        <f aca="false">IFERROR(__xludf.dummyfunction("""COMPUTED_VALUE"""),"")</f>
        <v/>
      </c>
      <c r="W99" s="322" t="str">
        <f aca="false">IFERROR(__xludf.dummyfunction("""COMPUTED_VALUE"""),"")</f>
        <v/>
      </c>
      <c r="X99" s="321" t="str">
        <f aca="false">IFERROR(__xludf.dummyfunction("""COMPUTED_VALUE"""),"")</f>
        <v/>
      </c>
      <c r="Y99" s="321" t="str">
        <f aca="false">IFERROR(__xludf.dummyfunction("""COMPUTED_VALUE"""),"")</f>
        <v/>
      </c>
      <c r="Z99" s="175"/>
      <c r="AA99" s="175"/>
      <c r="AB99" s="175"/>
      <c r="AC99" s="175"/>
      <c r="AD99" s="175"/>
      <c r="AE99" s="175"/>
      <c r="AF99" s="175"/>
      <c r="AG99" s="175"/>
      <c r="AH99" s="175"/>
      <c r="AI99" s="175"/>
      <c r="AJ99" s="175"/>
    </row>
    <row r="100" customFormat="false" ht="15.75" hidden="false" customHeight="true" outlineLevel="0" collapsed="false">
      <c r="A100" s="80" t="n">
        <v>95</v>
      </c>
      <c r="B100" s="323" t="str">
        <f aca="false">IFERROR(__xludf.dummyfunction("""COMPUTED_VALUE"""),"")</f>
        <v/>
      </c>
      <c r="C100" s="321" t="str">
        <f aca="false">IFERROR(__xludf.dummyfunction("""COMPUTED_VALUE"""),"")</f>
        <v/>
      </c>
      <c r="D100" s="321" t="str">
        <f aca="false">IFERROR(__xludf.dummyfunction("""COMPUTED_VALUE"""),"")</f>
        <v/>
      </c>
      <c r="E100" s="321" t="str">
        <f aca="false">IFERROR(__xludf.dummyfunction("""COMPUTED_VALUE"""),"")</f>
        <v/>
      </c>
      <c r="F100" s="321" t="str">
        <f aca="false">IFERROR(__xludf.dummyfunction("""COMPUTED_VALUE"""),"")</f>
        <v/>
      </c>
      <c r="G100" s="321" t="str">
        <f aca="false">IFERROR(__xludf.dummyfunction("""COMPUTED_VALUE"""),"")</f>
        <v/>
      </c>
      <c r="H100" s="322" t="str">
        <f aca="false">IFERROR(__xludf.dummyfunction("""COMPUTED_VALUE"""),"")</f>
        <v/>
      </c>
      <c r="I100" s="321" t="str">
        <f aca="false">IFERROR(__xludf.dummyfunction("""COMPUTED_VALUE"""),"")</f>
        <v/>
      </c>
      <c r="J100" s="322" t="str">
        <f aca="false">IFERROR(__xludf.dummyfunction("""COMPUTED_VALUE"""),"")</f>
        <v/>
      </c>
      <c r="K100" s="322" t="str">
        <f aca="false">IFERROR(__xludf.dummyfunction("""COMPUTED_VALUE"""),"")</f>
        <v/>
      </c>
      <c r="L100" s="322" t="str">
        <f aca="false">IFERROR(__xludf.dummyfunction("""COMPUTED_VALUE"""),"")</f>
        <v/>
      </c>
      <c r="M100" s="322" t="str">
        <f aca="false">IFERROR(__xludf.dummyfunction("""COMPUTED_VALUE"""),"")</f>
        <v/>
      </c>
      <c r="N100" s="322" t="str">
        <f aca="false">IFERROR(__xludf.dummyfunction("""COMPUTED_VALUE"""),"")</f>
        <v/>
      </c>
      <c r="O100" s="322" t="str">
        <f aca="false">IFERROR(__xludf.dummyfunction("""COMPUTED_VALUE"""),"")</f>
        <v/>
      </c>
      <c r="P100" s="321" t="str">
        <f aca="false">IFERROR(__xludf.dummyfunction("""COMPUTED_VALUE"""),"")</f>
        <v/>
      </c>
      <c r="Q100" s="322" t="str">
        <f aca="false">IFERROR(__xludf.dummyfunction("""COMPUTED_VALUE"""),"")</f>
        <v/>
      </c>
      <c r="R100" s="322" t="str">
        <f aca="false">IFERROR(__xludf.dummyfunction("""COMPUTED_VALUE"""),"")</f>
        <v/>
      </c>
      <c r="S100" s="322" t="str">
        <f aca="false">IFERROR(__xludf.dummyfunction("""COMPUTED_VALUE"""),"")</f>
        <v/>
      </c>
      <c r="T100" s="321" t="str">
        <f aca="false">IFERROR(__xludf.dummyfunction("""COMPUTED_VALUE"""),"")</f>
        <v/>
      </c>
      <c r="U100" s="321" t="str">
        <f aca="false">IFERROR(__xludf.dummyfunction("""COMPUTED_VALUE"""),"")</f>
        <v/>
      </c>
      <c r="V100" s="321" t="str">
        <f aca="false">IFERROR(__xludf.dummyfunction("""COMPUTED_VALUE"""),"")</f>
        <v/>
      </c>
      <c r="W100" s="322" t="str">
        <f aca="false">IFERROR(__xludf.dummyfunction("""COMPUTED_VALUE"""),"")</f>
        <v/>
      </c>
      <c r="X100" s="321" t="str">
        <f aca="false">IFERROR(__xludf.dummyfunction("""COMPUTED_VALUE"""),"")</f>
        <v/>
      </c>
      <c r="Y100" s="321" t="str">
        <f aca="false">IFERROR(__xludf.dummyfunction("""COMPUTED_VALUE"""),"")</f>
        <v/>
      </c>
      <c r="Z100" s="175"/>
      <c r="AA100" s="175"/>
      <c r="AB100" s="175"/>
      <c r="AC100" s="175"/>
      <c r="AD100" s="175"/>
      <c r="AE100" s="175"/>
      <c r="AF100" s="175"/>
      <c r="AG100" s="175"/>
      <c r="AH100" s="175"/>
      <c r="AI100" s="175"/>
      <c r="AJ100" s="175"/>
    </row>
    <row r="101" customFormat="false" ht="15.75" hidden="false" customHeight="true" outlineLevel="0" collapsed="false">
      <c r="A101" s="80" t="n">
        <v>96</v>
      </c>
      <c r="B101" s="323" t="str">
        <f aca="false">IFERROR(__xludf.dummyfunction("""COMPUTED_VALUE"""),"")</f>
        <v/>
      </c>
      <c r="C101" s="321" t="str">
        <f aca="false">IFERROR(__xludf.dummyfunction("""COMPUTED_VALUE"""),"")</f>
        <v/>
      </c>
      <c r="D101" s="321" t="str">
        <f aca="false">IFERROR(__xludf.dummyfunction("""COMPUTED_VALUE"""),"")</f>
        <v/>
      </c>
      <c r="E101" s="321" t="str">
        <f aca="false">IFERROR(__xludf.dummyfunction("""COMPUTED_VALUE"""),"")</f>
        <v/>
      </c>
      <c r="F101" s="321" t="str">
        <f aca="false">IFERROR(__xludf.dummyfunction("""COMPUTED_VALUE"""),"")</f>
        <v/>
      </c>
      <c r="G101" s="321" t="str">
        <f aca="false">IFERROR(__xludf.dummyfunction("""COMPUTED_VALUE"""),"")</f>
        <v/>
      </c>
      <c r="H101" s="322" t="str">
        <f aca="false">IFERROR(__xludf.dummyfunction("""COMPUTED_VALUE"""),"")</f>
        <v/>
      </c>
      <c r="I101" s="321" t="str">
        <f aca="false">IFERROR(__xludf.dummyfunction("""COMPUTED_VALUE"""),"")</f>
        <v/>
      </c>
      <c r="J101" s="322" t="str">
        <f aca="false">IFERROR(__xludf.dummyfunction("""COMPUTED_VALUE"""),"")</f>
        <v/>
      </c>
      <c r="K101" s="322" t="str">
        <f aca="false">IFERROR(__xludf.dummyfunction("""COMPUTED_VALUE"""),"")</f>
        <v/>
      </c>
      <c r="L101" s="322" t="str">
        <f aca="false">IFERROR(__xludf.dummyfunction("""COMPUTED_VALUE"""),"")</f>
        <v/>
      </c>
      <c r="M101" s="322" t="str">
        <f aca="false">IFERROR(__xludf.dummyfunction("""COMPUTED_VALUE"""),"")</f>
        <v/>
      </c>
      <c r="N101" s="322" t="str">
        <f aca="false">IFERROR(__xludf.dummyfunction("""COMPUTED_VALUE"""),"")</f>
        <v/>
      </c>
      <c r="O101" s="322" t="str">
        <f aca="false">IFERROR(__xludf.dummyfunction("""COMPUTED_VALUE"""),"")</f>
        <v/>
      </c>
      <c r="P101" s="321" t="str">
        <f aca="false">IFERROR(__xludf.dummyfunction("""COMPUTED_VALUE"""),"")</f>
        <v/>
      </c>
      <c r="Q101" s="322" t="str">
        <f aca="false">IFERROR(__xludf.dummyfunction("""COMPUTED_VALUE"""),"")</f>
        <v/>
      </c>
      <c r="R101" s="322" t="str">
        <f aca="false">IFERROR(__xludf.dummyfunction("""COMPUTED_VALUE"""),"")</f>
        <v/>
      </c>
      <c r="S101" s="322" t="str">
        <f aca="false">IFERROR(__xludf.dummyfunction("""COMPUTED_VALUE"""),"")</f>
        <v/>
      </c>
      <c r="T101" s="321" t="str">
        <f aca="false">IFERROR(__xludf.dummyfunction("""COMPUTED_VALUE"""),"")</f>
        <v/>
      </c>
      <c r="U101" s="321" t="str">
        <f aca="false">IFERROR(__xludf.dummyfunction("""COMPUTED_VALUE"""),"")</f>
        <v/>
      </c>
      <c r="V101" s="321" t="str">
        <f aca="false">IFERROR(__xludf.dummyfunction("""COMPUTED_VALUE"""),"")</f>
        <v/>
      </c>
      <c r="W101" s="322" t="str">
        <f aca="false">IFERROR(__xludf.dummyfunction("""COMPUTED_VALUE"""),"")</f>
        <v/>
      </c>
      <c r="X101" s="321" t="str">
        <f aca="false">IFERROR(__xludf.dummyfunction("""COMPUTED_VALUE"""),"")</f>
        <v/>
      </c>
      <c r="Y101" s="321" t="str">
        <f aca="false">IFERROR(__xludf.dummyfunction("""COMPUTED_VALUE"""),"")</f>
        <v/>
      </c>
      <c r="Z101" s="175"/>
      <c r="AA101" s="175"/>
      <c r="AB101" s="175"/>
      <c r="AC101" s="175"/>
      <c r="AD101" s="175"/>
      <c r="AE101" s="175"/>
      <c r="AF101" s="175"/>
      <c r="AG101" s="175"/>
      <c r="AH101" s="175"/>
      <c r="AI101" s="175"/>
      <c r="AJ101" s="175"/>
    </row>
    <row r="102" customFormat="false" ht="15.75" hidden="false" customHeight="true" outlineLevel="0" collapsed="false">
      <c r="A102" s="80" t="n">
        <v>97</v>
      </c>
      <c r="B102" s="323" t="str">
        <f aca="false">IFERROR(__xludf.dummyfunction("""COMPUTED_VALUE"""),"")</f>
        <v/>
      </c>
      <c r="C102" s="321" t="str">
        <f aca="false">IFERROR(__xludf.dummyfunction("""COMPUTED_VALUE"""),"")</f>
        <v/>
      </c>
      <c r="D102" s="321" t="str">
        <f aca="false">IFERROR(__xludf.dummyfunction("""COMPUTED_VALUE"""),"")</f>
        <v/>
      </c>
      <c r="E102" s="321" t="str">
        <f aca="false">IFERROR(__xludf.dummyfunction("""COMPUTED_VALUE"""),"")</f>
        <v/>
      </c>
      <c r="F102" s="321" t="str">
        <f aca="false">IFERROR(__xludf.dummyfunction("""COMPUTED_VALUE"""),"")</f>
        <v/>
      </c>
      <c r="G102" s="321" t="str">
        <f aca="false">IFERROR(__xludf.dummyfunction("""COMPUTED_VALUE"""),"")</f>
        <v/>
      </c>
      <c r="H102" s="322" t="str">
        <f aca="false">IFERROR(__xludf.dummyfunction("""COMPUTED_VALUE"""),"")</f>
        <v/>
      </c>
      <c r="I102" s="321" t="str">
        <f aca="false">IFERROR(__xludf.dummyfunction("""COMPUTED_VALUE"""),"")</f>
        <v/>
      </c>
      <c r="J102" s="322" t="str">
        <f aca="false">IFERROR(__xludf.dummyfunction("""COMPUTED_VALUE"""),"")</f>
        <v/>
      </c>
      <c r="K102" s="322" t="str">
        <f aca="false">IFERROR(__xludf.dummyfunction("""COMPUTED_VALUE"""),"")</f>
        <v/>
      </c>
      <c r="L102" s="322" t="str">
        <f aca="false">IFERROR(__xludf.dummyfunction("""COMPUTED_VALUE"""),"")</f>
        <v/>
      </c>
      <c r="M102" s="322" t="str">
        <f aca="false">IFERROR(__xludf.dummyfunction("""COMPUTED_VALUE"""),"")</f>
        <v/>
      </c>
      <c r="N102" s="322" t="str">
        <f aca="false">IFERROR(__xludf.dummyfunction("""COMPUTED_VALUE"""),"")</f>
        <v/>
      </c>
      <c r="O102" s="322" t="str">
        <f aca="false">IFERROR(__xludf.dummyfunction("""COMPUTED_VALUE"""),"")</f>
        <v/>
      </c>
      <c r="P102" s="321" t="str">
        <f aca="false">IFERROR(__xludf.dummyfunction("""COMPUTED_VALUE"""),"")</f>
        <v/>
      </c>
      <c r="Q102" s="322" t="str">
        <f aca="false">IFERROR(__xludf.dummyfunction("""COMPUTED_VALUE"""),"")</f>
        <v/>
      </c>
      <c r="R102" s="322" t="str">
        <f aca="false">IFERROR(__xludf.dummyfunction("""COMPUTED_VALUE"""),"")</f>
        <v/>
      </c>
      <c r="S102" s="322" t="str">
        <f aca="false">IFERROR(__xludf.dummyfunction("""COMPUTED_VALUE"""),"")</f>
        <v/>
      </c>
      <c r="T102" s="321" t="str">
        <f aca="false">IFERROR(__xludf.dummyfunction("""COMPUTED_VALUE"""),"")</f>
        <v/>
      </c>
      <c r="U102" s="321" t="str">
        <f aca="false">IFERROR(__xludf.dummyfunction("""COMPUTED_VALUE"""),"")</f>
        <v/>
      </c>
      <c r="V102" s="321" t="str">
        <f aca="false">IFERROR(__xludf.dummyfunction("""COMPUTED_VALUE"""),"")</f>
        <v/>
      </c>
      <c r="W102" s="322" t="str">
        <f aca="false">IFERROR(__xludf.dummyfunction("""COMPUTED_VALUE"""),"")</f>
        <v/>
      </c>
      <c r="X102" s="321" t="str">
        <f aca="false">IFERROR(__xludf.dummyfunction("""COMPUTED_VALUE"""),"")</f>
        <v/>
      </c>
      <c r="Y102" s="321" t="str">
        <f aca="false">IFERROR(__xludf.dummyfunction("""COMPUTED_VALUE"""),"")</f>
        <v/>
      </c>
      <c r="Z102" s="175"/>
      <c r="AA102" s="175"/>
      <c r="AB102" s="175"/>
      <c r="AC102" s="175"/>
      <c r="AD102" s="175"/>
      <c r="AE102" s="175"/>
      <c r="AF102" s="175"/>
      <c r="AG102" s="175"/>
      <c r="AH102" s="175"/>
      <c r="AI102" s="175"/>
      <c r="AJ102" s="175"/>
    </row>
    <row r="103" customFormat="false" ht="15.75" hidden="false" customHeight="true" outlineLevel="0" collapsed="false">
      <c r="A103" s="80" t="n">
        <v>98</v>
      </c>
      <c r="B103" s="323" t="str">
        <f aca="false">IFERROR(__xludf.dummyfunction("""COMPUTED_VALUE"""),"")</f>
        <v/>
      </c>
      <c r="C103" s="321" t="str">
        <f aca="false">IFERROR(__xludf.dummyfunction("""COMPUTED_VALUE"""),"")</f>
        <v/>
      </c>
      <c r="D103" s="321" t="str">
        <f aca="false">IFERROR(__xludf.dummyfunction("""COMPUTED_VALUE"""),"")</f>
        <v/>
      </c>
      <c r="E103" s="321" t="str">
        <f aca="false">IFERROR(__xludf.dummyfunction("""COMPUTED_VALUE"""),"")</f>
        <v/>
      </c>
      <c r="F103" s="321" t="str">
        <f aca="false">IFERROR(__xludf.dummyfunction("""COMPUTED_VALUE"""),"")</f>
        <v/>
      </c>
      <c r="G103" s="321" t="str">
        <f aca="false">IFERROR(__xludf.dummyfunction("""COMPUTED_VALUE"""),"")</f>
        <v/>
      </c>
      <c r="H103" s="322" t="str">
        <f aca="false">IFERROR(__xludf.dummyfunction("""COMPUTED_VALUE"""),"")</f>
        <v/>
      </c>
      <c r="I103" s="321" t="str">
        <f aca="false">IFERROR(__xludf.dummyfunction("""COMPUTED_VALUE"""),"")</f>
        <v/>
      </c>
      <c r="J103" s="322" t="str">
        <f aca="false">IFERROR(__xludf.dummyfunction("""COMPUTED_VALUE"""),"")</f>
        <v/>
      </c>
      <c r="K103" s="322" t="str">
        <f aca="false">IFERROR(__xludf.dummyfunction("""COMPUTED_VALUE"""),"")</f>
        <v/>
      </c>
      <c r="L103" s="322" t="str">
        <f aca="false">IFERROR(__xludf.dummyfunction("""COMPUTED_VALUE"""),"")</f>
        <v/>
      </c>
      <c r="M103" s="322" t="str">
        <f aca="false">IFERROR(__xludf.dummyfunction("""COMPUTED_VALUE"""),"")</f>
        <v/>
      </c>
      <c r="N103" s="322" t="str">
        <f aca="false">IFERROR(__xludf.dummyfunction("""COMPUTED_VALUE"""),"")</f>
        <v/>
      </c>
      <c r="O103" s="322" t="str">
        <f aca="false">IFERROR(__xludf.dummyfunction("""COMPUTED_VALUE"""),"")</f>
        <v/>
      </c>
      <c r="P103" s="321" t="str">
        <f aca="false">IFERROR(__xludf.dummyfunction("""COMPUTED_VALUE"""),"")</f>
        <v/>
      </c>
      <c r="Q103" s="322" t="str">
        <f aca="false">IFERROR(__xludf.dummyfunction("""COMPUTED_VALUE"""),"")</f>
        <v/>
      </c>
      <c r="R103" s="322" t="str">
        <f aca="false">IFERROR(__xludf.dummyfunction("""COMPUTED_VALUE"""),"")</f>
        <v/>
      </c>
      <c r="S103" s="322" t="str">
        <f aca="false">IFERROR(__xludf.dummyfunction("""COMPUTED_VALUE"""),"")</f>
        <v/>
      </c>
      <c r="T103" s="321" t="str">
        <f aca="false">IFERROR(__xludf.dummyfunction("""COMPUTED_VALUE"""),"")</f>
        <v/>
      </c>
      <c r="U103" s="321" t="str">
        <f aca="false">IFERROR(__xludf.dummyfunction("""COMPUTED_VALUE"""),"")</f>
        <v/>
      </c>
      <c r="V103" s="321" t="str">
        <f aca="false">IFERROR(__xludf.dummyfunction("""COMPUTED_VALUE"""),"")</f>
        <v/>
      </c>
      <c r="W103" s="322" t="str">
        <f aca="false">IFERROR(__xludf.dummyfunction("""COMPUTED_VALUE"""),"")</f>
        <v/>
      </c>
      <c r="X103" s="321" t="str">
        <f aca="false">IFERROR(__xludf.dummyfunction("""COMPUTED_VALUE"""),"")</f>
        <v/>
      </c>
      <c r="Y103" s="321" t="str">
        <f aca="false">IFERROR(__xludf.dummyfunction("""COMPUTED_VALUE"""),"")</f>
        <v/>
      </c>
      <c r="Z103" s="175"/>
      <c r="AA103" s="175"/>
      <c r="AB103" s="175"/>
      <c r="AC103" s="175"/>
      <c r="AD103" s="175"/>
      <c r="AE103" s="175"/>
      <c r="AF103" s="175"/>
      <c r="AG103" s="175"/>
      <c r="AH103" s="175"/>
      <c r="AI103" s="175"/>
      <c r="AJ103" s="175"/>
    </row>
    <row r="104" customFormat="false" ht="15.75" hidden="false" customHeight="true" outlineLevel="0" collapsed="false">
      <c r="A104" s="80" t="n">
        <v>99</v>
      </c>
      <c r="B104" s="323" t="str">
        <f aca="false">IFERROR(__xludf.dummyfunction("""COMPUTED_VALUE"""),"")</f>
        <v/>
      </c>
      <c r="C104" s="321" t="str">
        <f aca="false">IFERROR(__xludf.dummyfunction("""COMPUTED_VALUE"""),"")</f>
        <v/>
      </c>
      <c r="D104" s="321" t="str">
        <f aca="false">IFERROR(__xludf.dummyfunction("""COMPUTED_VALUE"""),"")</f>
        <v/>
      </c>
      <c r="E104" s="321" t="str">
        <f aca="false">IFERROR(__xludf.dummyfunction("""COMPUTED_VALUE"""),"")</f>
        <v/>
      </c>
      <c r="F104" s="321" t="str">
        <f aca="false">IFERROR(__xludf.dummyfunction("""COMPUTED_VALUE"""),"")</f>
        <v/>
      </c>
      <c r="G104" s="321" t="str">
        <f aca="false">IFERROR(__xludf.dummyfunction("""COMPUTED_VALUE"""),"")</f>
        <v/>
      </c>
      <c r="H104" s="322" t="str">
        <f aca="false">IFERROR(__xludf.dummyfunction("""COMPUTED_VALUE"""),"")</f>
        <v/>
      </c>
      <c r="I104" s="321" t="str">
        <f aca="false">IFERROR(__xludf.dummyfunction("""COMPUTED_VALUE"""),"")</f>
        <v/>
      </c>
      <c r="J104" s="322" t="str">
        <f aca="false">IFERROR(__xludf.dummyfunction("""COMPUTED_VALUE"""),"")</f>
        <v/>
      </c>
      <c r="K104" s="322" t="str">
        <f aca="false">IFERROR(__xludf.dummyfunction("""COMPUTED_VALUE"""),"")</f>
        <v/>
      </c>
      <c r="L104" s="322" t="str">
        <f aca="false">IFERROR(__xludf.dummyfunction("""COMPUTED_VALUE"""),"")</f>
        <v/>
      </c>
      <c r="M104" s="322" t="str">
        <f aca="false">IFERROR(__xludf.dummyfunction("""COMPUTED_VALUE"""),"")</f>
        <v/>
      </c>
      <c r="N104" s="322" t="str">
        <f aca="false">IFERROR(__xludf.dummyfunction("""COMPUTED_VALUE"""),"")</f>
        <v/>
      </c>
      <c r="O104" s="322" t="str">
        <f aca="false">IFERROR(__xludf.dummyfunction("""COMPUTED_VALUE"""),"")</f>
        <v/>
      </c>
      <c r="P104" s="321" t="str">
        <f aca="false">IFERROR(__xludf.dummyfunction("""COMPUTED_VALUE"""),"")</f>
        <v/>
      </c>
      <c r="Q104" s="322" t="str">
        <f aca="false">IFERROR(__xludf.dummyfunction("""COMPUTED_VALUE"""),"")</f>
        <v/>
      </c>
      <c r="R104" s="322" t="str">
        <f aca="false">IFERROR(__xludf.dummyfunction("""COMPUTED_VALUE"""),"")</f>
        <v/>
      </c>
      <c r="S104" s="322" t="str">
        <f aca="false">IFERROR(__xludf.dummyfunction("""COMPUTED_VALUE"""),"")</f>
        <v/>
      </c>
      <c r="T104" s="321" t="str">
        <f aca="false">IFERROR(__xludf.dummyfunction("""COMPUTED_VALUE"""),"")</f>
        <v/>
      </c>
      <c r="U104" s="321" t="str">
        <f aca="false">IFERROR(__xludf.dummyfunction("""COMPUTED_VALUE"""),"")</f>
        <v/>
      </c>
      <c r="V104" s="321" t="str">
        <f aca="false">IFERROR(__xludf.dummyfunction("""COMPUTED_VALUE"""),"")</f>
        <v/>
      </c>
      <c r="W104" s="322" t="str">
        <f aca="false">IFERROR(__xludf.dummyfunction("""COMPUTED_VALUE"""),"")</f>
        <v/>
      </c>
      <c r="X104" s="321" t="str">
        <f aca="false">IFERROR(__xludf.dummyfunction("""COMPUTED_VALUE"""),"")</f>
        <v/>
      </c>
      <c r="Y104" s="321" t="str">
        <f aca="false">IFERROR(__xludf.dummyfunction("""COMPUTED_VALUE"""),"")</f>
        <v/>
      </c>
      <c r="Z104" s="175"/>
      <c r="AA104" s="175"/>
      <c r="AB104" s="175"/>
      <c r="AC104" s="175"/>
      <c r="AD104" s="175"/>
      <c r="AE104" s="175"/>
      <c r="AF104" s="175"/>
      <c r="AG104" s="175"/>
      <c r="AH104" s="175"/>
      <c r="AI104" s="175"/>
      <c r="AJ104" s="175"/>
    </row>
    <row r="105" customFormat="false" ht="15.75" hidden="false" customHeight="true" outlineLevel="0" collapsed="false">
      <c r="A105" s="80" t="n">
        <v>100</v>
      </c>
      <c r="B105" s="323" t="str">
        <f aca="false">IFERROR(__xludf.dummyfunction("""COMPUTED_VALUE"""),"")</f>
        <v/>
      </c>
      <c r="C105" s="321" t="str">
        <f aca="false">IFERROR(__xludf.dummyfunction("""COMPUTED_VALUE"""),"")</f>
        <v/>
      </c>
      <c r="D105" s="321" t="str">
        <f aca="false">IFERROR(__xludf.dummyfunction("""COMPUTED_VALUE"""),"")</f>
        <v/>
      </c>
      <c r="E105" s="321" t="str">
        <f aca="false">IFERROR(__xludf.dummyfunction("""COMPUTED_VALUE"""),"")</f>
        <v/>
      </c>
      <c r="F105" s="321" t="str">
        <f aca="false">IFERROR(__xludf.dummyfunction("""COMPUTED_VALUE"""),"")</f>
        <v/>
      </c>
      <c r="G105" s="321" t="str">
        <f aca="false">IFERROR(__xludf.dummyfunction("""COMPUTED_VALUE"""),"")</f>
        <v/>
      </c>
      <c r="H105" s="322" t="str">
        <f aca="false">IFERROR(__xludf.dummyfunction("""COMPUTED_VALUE"""),"")</f>
        <v/>
      </c>
      <c r="I105" s="321" t="str">
        <f aca="false">IFERROR(__xludf.dummyfunction("""COMPUTED_VALUE"""),"")</f>
        <v/>
      </c>
      <c r="J105" s="322" t="str">
        <f aca="false">IFERROR(__xludf.dummyfunction("""COMPUTED_VALUE"""),"")</f>
        <v/>
      </c>
      <c r="K105" s="322" t="str">
        <f aca="false">IFERROR(__xludf.dummyfunction("""COMPUTED_VALUE"""),"")</f>
        <v/>
      </c>
      <c r="L105" s="322" t="str">
        <f aca="false">IFERROR(__xludf.dummyfunction("""COMPUTED_VALUE"""),"")</f>
        <v/>
      </c>
      <c r="M105" s="322" t="str">
        <f aca="false">IFERROR(__xludf.dummyfunction("""COMPUTED_VALUE"""),"")</f>
        <v/>
      </c>
      <c r="N105" s="322" t="str">
        <f aca="false">IFERROR(__xludf.dummyfunction("""COMPUTED_VALUE"""),"")</f>
        <v/>
      </c>
      <c r="O105" s="322" t="str">
        <f aca="false">IFERROR(__xludf.dummyfunction("""COMPUTED_VALUE"""),"")</f>
        <v/>
      </c>
      <c r="P105" s="321" t="str">
        <f aca="false">IFERROR(__xludf.dummyfunction("""COMPUTED_VALUE"""),"")</f>
        <v/>
      </c>
      <c r="Q105" s="322" t="str">
        <f aca="false">IFERROR(__xludf.dummyfunction("""COMPUTED_VALUE"""),"")</f>
        <v/>
      </c>
      <c r="R105" s="322" t="str">
        <f aca="false">IFERROR(__xludf.dummyfunction("""COMPUTED_VALUE"""),"")</f>
        <v/>
      </c>
      <c r="S105" s="322" t="str">
        <f aca="false">IFERROR(__xludf.dummyfunction("""COMPUTED_VALUE"""),"")</f>
        <v/>
      </c>
      <c r="T105" s="321" t="str">
        <f aca="false">IFERROR(__xludf.dummyfunction("""COMPUTED_VALUE"""),"")</f>
        <v/>
      </c>
      <c r="U105" s="321" t="str">
        <f aca="false">IFERROR(__xludf.dummyfunction("""COMPUTED_VALUE"""),"")</f>
        <v/>
      </c>
      <c r="V105" s="321" t="str">
        <f aca="false">IFERROR(__xludf.dummyfunction("""COMPUTED_VALUE"""),"")</f>
        <v/>
      </c>
      <c r="W105" s="322" t="str">
        <f aca="false">IFERROR(__xludf.dummyfunction("""COMPUTED_VALUE"""),"")</f>
        <v/>
      </c>
      <c r="X105" s="321" t="str">
        <f aca="false">IFERROR(__xludf.dummyfunction("""COMPUTED_VALUE"""),"")</f>
        <v/>
      </c>
      <c r="Y105" s="321" t="str">
        <f aca="false">IFERROR(__xludf.dummyfunction("""COMPUTED_VALUE"""),"")</f>
        <v/>
      </c>
      <c r="Z105" s="175"/>
      <c r="AA105" s="175"/>
      <c r="AB105" s="175"/>
      <c r="AC105" s="175"/>
      <c r="AD105" s="175"/>
      <c r="AE105" s="175"/>
      <c r="AF105" s="175"/>
      <c r="AG105" s="175"/>
      <c r="AH105" s="175"/>
      <c r="AI105" s="175"/>
      <c r="AJ105" s="175"/>
    </row>
  </sheetData>
  <mergeCells count="3">
    <mergeCell ref="B1:Y1"/>
    <mergeCell ref="B2:Y2"/>
    <mergeCell ref="B3:Y3"/>
  </mergeCells>
  <dataValidations count="7">
    <dataValidation allowBlank="true" operator="between" showDropDown="false" showErrorMessage="true" showInputMessage="false" sqref="G6:G105" type="list">
      <formula1>"Mr.,Ms.,Mrs."</formula1>
      <formula2>0</formula2>
    </dataValidation>
    <dataValidation allowBlank="true" operator="between" showDropDown="false" showErrorMessage="true" showInputMessage="false" sqref="P6:P105" type="list">
      <formula1>Data!$B$34:$C$34</formula1>
      <formula2>0</formula2>
    </dataValidation>
    <dataValidation allowBlank="true" operator="between" showDropDown="false" showErrorMessage="false" showInputMessage="false" sqref="T6:T105" type="list">
      <formula1>Data!$B$36:$O$36</formula1>
      <formula2>0</formula2>
    </dataValidation>
    <dataValidation allowBlank="true" operator="between" showDropDown="false" showErrorMessage="true" showInputMessage="false" sqref="E6:E105" type="list">
      <formula1>Data!$B$25:$K$25</formula1>
      <formula2>0</formula2>
    </dataValidation>
    <dataValidation allowBlank="true" operator="between" showDropDown="false" showErrorMessage="true" showInputMessage="false" sqref="C6:C105" type="list">
      <formula1>Data!$B$20:$H$20</formula1>
      <formula2>0</formula2>
    </dataValidation>
    <dataValidation allowBlank="true" operator="between" showDropDown="false" showErrorMessage="true" showInputMessage="false" sqref="U6:U105" type="list">
      <formula1>Data!$B$32:$D$32</formula1>
      <formula2>0</formula2>
    </dataValidation>
    <dataValidation allowBlank="true" operator="between" showDropDown="false" showErrorMessage="true" showInputMessage="false" sqref="D6:D105" type="list">
      <formula1>Data!$B$24:$H$24</formula1>
      <formula2>0</formula2>
    </dataValidation>
  </dataValidations>
  <printOptions headings="false" gridLines="true" gridLinesSet="true" horizontalCentered="true" verticalCentered="false"/>
  <pageMargins left="0.3" right="0.3" top="0.6" bottom="0.3"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2019-06-19T06:12:03Z</dcterms:created>
  <dc:creator>Santosh</dc:creator>
  <dc:description/>
  <dc:language>en-IN</dc:language>
  <cp:lastModifiedBy/>
  <cp:lastPrinted>2019-08-07T01:50:07Z</cp:lastPrinted>
  <dcterms:modified xsi:type="dcterms:W3CDTF">2019-10-03T15:46:33Z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