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m\Downloads\"/>
    </mc:Choice>
  </mc:AlternateContent>
  <xr:revisionPtr revIDLastSave="0" documentId="13_ncr:1_{D56CFB15-6D07-437F-9D10-61C3C929A565}" xr6:coauthVersionLast="47" xr6:coauthVersionMax="47" xr10:uidLastSave="{00000000-0000-0000-0000-000000000000}"/>
  <bookViews>
    <workbookView xWindow="-110" yWindow="-110" windowWidth="19420" windowHeight="10420" activeTab="3" xr2:uid="{EDEF9F9F-7759-48DE-AF94-FC6748B996CE}"/>
  </bookViews>
  <sheets>
    <sheet name="first submission" sheetId="1" r:id="rId1"/>
    <sheet name="cost suply" sheetId="2" r:id="rId2"/>
    <sheet name="price demand" sheetId="3" r:id="rId3"/>
    <sheet name="model" sheetId="4" r:id="rId4"/>
  </sheets>
  <definedNames>
    <definedName name="solver_adj" localSheetId="3" hidden="1">model!$A$16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model!$A$16</definedName>
    <definedName name="solver_lhs2" localSheetId="3" hidden="1">model!$G$16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model!$J$16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1800</definedName>
    <definedName name="solver_rhs2" localSheetId="3" hidden="1">7799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F12" i="4" s="1"/>
  <c r="H12" i="4" s="1"/>
  <c r="G13" i="4"/>
  <c r="G14" i="4"/>
  <c r="G15" i="4"/>
  <c r="G16" i="4"/>
  <c r="F16" i="4" s="1"/>
  <c r="H16" i="4" s="1"/>
  <c r="G17" i="4"/>
  <c r="F17" i="4" s="1"/>
  <c r="H17" i="4" s="1"/>
  <c r="G18" i="4"/>
  <c r="G19" i="4"/>
  <c r="G20" i="4"/>
  <c r="F20" i="4" s="1"/>
  <c r="H20" i="4" s="1"/>
  <c r="G21" i="4"/>
  <c r="G22" i="4"/>
  <c r="G23" i="4"/>
  <c r="G24" i="4"/>
  <c r="F24" i="4" s="1"/>
  <c r="H24" i="4" s="1"/>
  <c r="G25" i="4"/>
  <c r="F25" i="4" s="1"/>
  <c r="H25" i="4" s="1"/>
  <c r="G26" i="4"/>
  <c r="G27" i="4"/>
  <c r="G28" i="4"/>
  <c r="F28" i="4" s="1"/>
  <c r="H28" i="4" s="1"/>
  <c r="G29" i="4"/>
  <c r="G30" i="4"/>
  <c r="G31" i="4"/>
  <c r="G32" i="4"/>
  <c r="F32" i="4" s="1"/>
  <c r="H32" i="4" s="1"/>
  <c r="F13" i="4"/>
  <c r="H13" i="4" s="1"/>
  <c r="F14" i="4"/>
  <c r="H14" i="4" s="1"/>
  <c r="F15" i="4"/>
  <c r="H15" i="4" s="1"/>
  <c r="F18" i="4"/>
  <c r="H18" i="4" s="1"/>
  <c r="F19" i="4"/>
  <c r="H19" i="4" s="1"/>
  <c r="F21" i="4"/>
  <c r="H21" i="4" s="1"/>
  <c r="F22" i="4"/>
  <c r="H22" i="4" s="1"/>
  <c r="F23" i="4"/>
  <c r="H23" i="4" s="1"/>
  <c r="F26" i="4"/>
  <c r="H26" i="4" s="1"/>
  <c r="F27" i="4"/>
  <c r="H27" i="4" s="1"/>
  <c r="F29" i="4"/>
  <c r="H29" i="4" s="1"/>
  <c r="F30" i="4"/>
  <c r="H30" i="4" s="1"/>
  <c r="F31" i="4"/>
  <c r="H31" i="4" s="1"/>
  <c r="G9" i="4"/>
  <c r="N13" i="4"/>
  <c r="O13" i="4"/>
  <c r="A17" i="4"/>
  <c r="A16" i="4"/>
  <c r="B16" i="4" s="1"/>
  <c r="C16" i="4" s="1"/>
  <c r="E16" i="4" s="1"/>
  <c r="B15" i="4"/>
  <c r="C15" i="4" s="1"/>
  <c r="E15" i="4" s="1"/>
  <c r="D15" i="4"/>
  <c r="C12" i="4"/>
  <c r="E12" i="4" s="1"/>
  <c r="D12" i="4"/>
  <c r="A13" i="4"/>
  <c r="B13" i="4" s="1"/>
  <c r="C13" i="4" s="1"/>
  <c r="E13" i="4" s="1"/>
  <c r="B12" i="4"/>
  <c r="D4" i="4"/>
  <c r="B10" i="3"/>
  <c r="B9" i="3"/>
  <c r="J2" i="2"/>
  <c r="F14" i="2"/>
  <c r="F15" i="2"/>
  <c r="F12" i="2"/>
  <c r="G22" i="2"/>
  <c r="H22" i="2"/>
  <c r="F22" i="2"/>
  <c r="G21" i="2"/>
  <c r="G20" i="2"/>
  <c r="H20" i="2"/>
  <c r="F20" i="2"/>
  <c r="G19" i="2"/>
  <c r="H19" i="2"/>
  <c r="F19" i="2"/>
  <c r="G18" i="2"/>
  <c r="H18" i="2"/>
  <c r="F18" i="2"/>
  <c r="G17" i="2"/>
  <c r="H17" i="2"/>
  <c r="F17" i="2"/>
  <c r="G16" i="2"/>
  <c r="H16" i="2"/>
  <c r="F16" i="2"/>
  <c r="F11" i="2"/>
  <c r="G11" i="2"/>
  <c r="H11" i="2"/>
  <c r="F21" i="2"/>
  <c r="F13" i="2"/>
  <c r="H6" i="2"/>
  <c r="H5" i="2"/>
  <c r="G6" i="2"/>
  <c r="G5" i="2"/>
  <c r="F6" i="2"/>
  <c r="F5" i="2"/>
  <c r="C9" i="1"/>
  <c r="C8" i="1"/>
  <c r="I15" i="4" l="1"/>
  <c r="J15" i="4" s="1"/>
  <c r="D17" i="4"/>
  <c r="B17" i="4"/>
  <c r="C17" i="4" s="1"/>
  <c r="E17" i="4" s="1"/>
  <c r="I16" i="4"/>
  <c r="J16" i="4" s="1"/>
  <c r="D16" i="4"/>
  <c r="A14" i="4"/>
  <c r="B14" i="4" s="1"/>
  <c r="C14" i="4" s="1"/>
  <c r="E14" i="4" s="1"/>
  <c r="D13" i="4"/>
  <c r="I17" i="4" l="1"/>
  <c r="J17" i="4" s="1"/>
  <c r="I13" i="4"/>
  <c r="J13" i="4" s="1"/>
  <c r="I12" i="4"/>
  <c r="J12" i="4" s="1"/>
  <c r="D14" i="4"/>
  <c r="I14" i="4" l="1"/>
  <c r="J14" i="4" s="1"/>
  <c r="A18" i="4"/>
  <c r="B18" i="4" l="1"/>
  <c r="C18" i="4" s="1"/>
  <c r="E18" i="4" s="1"/>
  <c r="D18" i="4"/>
  <c r="A19" i="4"/>
  <c r="D19" i="4" l="1"/>
  <c r="B19" i="4"/>
  <c r="C19" i="4" s="1"/>
  <c r="E19" i="4" s="1"/>
  <c r="A20" i="4"/>
  <c r="I18" i="4"/>
  <c r="J18" i="4" s="1"/>
  <c r="I19" i="4" l="1"/>
  <c r="J19" i="4" s="1"/>
  <c r="D20" i="4"/>
  <c r="B20" i="4"/>
  <c r="C20" i="4" s="1"/>
  <c r="E20" i="4" s="1"/>
  <c r="A21" i="4"/>
  <c r="D21" i="4" l="1"/>
  <c r="B21" i="4"/>
  <c r="C21" i="4" s="1"/>
  <c r="E21" i="4" s="1"/>
  <c r="A22" i="4"/>
  <c r="I20" i="4"/>
  <c r="J20" i="4" s="1"/>
  <c r="D22" i="4" l="1"/>
  <c r="A23" i="4"/>
  <c r="B22" i="4"/>
  <c r="C22" i="4" s="1"/>
  <c r="E22" i="4" s="1"/>
  <c r="I21" i="4"/>
  <c r="J21" i="4" s="1"/>
  <c r="I22" i="4" l="1"/>
  <c r="J22" i="4" s="1"/>
  <c r="D23" i="4"/>
  <c r="A24" i="4"/>
  <c r="B23" i="4"/>
  <c r="C23" i="4" s="1"/>
  <c r="E23" i="4" s="1"/>
  <c r="D24" i="4" l="1"/>
  <c r="A25" i="4"/>
  <c r="B24" i="4"/>
  <c r="C24" i="4" s="1"/>
  <c r="E24" i="4" s="1"/>
  <c r="I23" i="4"/>
  <c r="J23" i="4" s="1"/>
  <c r="I24" i="4" l="1"/>
  <c r="J24" i="4" s="1"/>
  <c r="B25" i="4"/>
  <c r="C25" i="4" s="1"/>
  <c r="E25" i="4" s="1"/>
  <c r="A26" i="4"/>
  <c r="D25" i="4"/>
  <c r="A27" i="4" l="1"/>
  <c r="B26" i="4"/>
  <c r="C26" i="4" s="1"/>
  <c r="E26" i="4" s="1"/>
  <c r="D26" i="4"/>
  <c r="I25" i="4"/>
  <c r="J25" i="4" s="1"/>
  <c r="I26" i="4" l="1"/>
  <c r="J26" i="4" s="1"/>
  <c r="A28" i="4"/>
  <c r="D27" i="4"/>
  <c r="B27" i="4"/>
  <c r="C27" i="4" s="1"/>
  <c r="E27" i="4" s="1"/>
  <c r="I27" i="4" l="1"/>
  <c r="J27" i="4" s="1"/>
  <c r="A29" i="4"/>
  <c r="B28" i="4"/>
  <c r="C28" i="4" s="1"/>
  <c r="E28" i="4" s="1"/>
  <c r="D28" i="4"/>
  <c r="I28" i="4" l="1"/>
  <c r="J28" i="4" s="1"/>
  <c r="A30" i="4"/>
  <c r="B29" i="4"/>
  <c r="C29" i="4" s="1"/>
  <c r="E29" i="4" s="1"/>
  <c r="D29" i="4"/>
  <c r="A31" i="4" l="1"/>
  <c r="B30" i="4"/>
  <c r="C30" i="4" s="1"/>
  <c r="E30" i="4" s="1"/>
  <c r="D30" i="4"/>
  <c r="I29" i="4"/>
  <c r="J29" i="4" s="1"/>
  <c r="I30" i="4" l="1"/>
  <c r="J30" i="4" s="1"/>
  <c r="B31" i="4"/>
  <c r="C31" i="4" s="1"/>
  <c r="E31" i="4" s="1"/>
  <c r="D31" i="4"/>
  <c r="A32" i="4"/>
  <c r="I31" i="4" l="1"/>
  <c r="J31" i="4" s="1"/>
  <c r="B32" i="4"/>
  <c r="C32" i="4" s="1"/>
  <c r="E32" i="4" s="1"/>
  <c r="D32" i="4"/>
  <c r="I32" i="4" l="1"/>
  <c r="J32" i="4" s="1"/>
</calcChain>
</file>

<file path=xl/sharedStrings.xml><?xml version="1.0" encoding="utf-8"?>
<sst xmlns="http://schemas.openxmlformats.org/spreadsheetml/2006/main" count="49" uniqueCount="39">
  <si>
    <t>Quantity</t>
  </si>
  <si>
    <t>PRICE</t>
  </si>
  <si>
    <t>Relationship between Order Quantity and Cost of OLED Panel</t>
  </si>
  <si>
    <t>Line 1</t>
  </si>
  <si>
    <t>Line 2</t>
  </si>
  <si>
    <t>Line 3</t>
  </si>
  <si>
    <t>Quote from Samsung</t>
  </si>
  <si>
    <t>Intercept</t>
  </si>
  <si>
    <t>Slope</t>
  </si>
  <si>
    <t>Order Quantity</t>
  </si>
  <si>
    <t>cost/unit</t>
  </si>
  <si>
    <t>Price/Unit</t>
  </si>
  <si>
    <t>slope</t>
  </si>
  <si>
    <t>intercept</t>
  </si>
  <si>
    <t>Price &amp; Demand Relationship</t>
  </si>
  <si>
    <t>Selling Price</t>
  </si>
  <si>
    <t>Demand</t>
  </si>
  <si>
    <t>Order Quantity Modelling</t>
  </si>
  <si>
    <t>Internal</t>
  </si>
  <si>
    <t>Warehouse</t>
  </si>
  <si>
    <t>Total</t>
  </si>
  <si>
    <t>Capacity</t>
  </si>
  <si>
    <t>Other Costs</t>
  </si>
  <si>
    <t>Selling Price &amp; Demand</t>
  </si>
  <si>
    <t>Warehouse ₹/day</t>
  </si>
  <si>
    <t>Price</t>
  </si>
  <si>
    <t>Other Cost Components</t>
  </si>
  <si>
    <t>Panel Cost/Unit</t>
  </si>
  <si>
    <t>Total Cost/Unit</t>
  </si>
  <si>
    <t>Warehouse Storage Days</t>
  </si>
  <si>
    <t>Total Cost</t>
  </si>
  <si>
    <t>Profit</t>
  </si>
  <si>
    <t>Profit Margin</t>
  </si>
  <si>
    <t>price</t>
  </si>
  <si>
    <t>unit sold</t>
  </si>
  <si>
    <t>y</t>
  </si>
  <si>
    <t>x</t>
  </si>
  <si>
    <t>one unit price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</si>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</sst>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74" formatCode="0.0000000"/>
    <numFmt numFmtId="178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rgb="FF3F3F3F"/>
      <name val="Nunito"/>
    </font>
    <font>
      <sz val="11"/>
      <color theme="1"/>
      <name val="Nunito"/>
    </font>
    <font>
      <b/>
      <sz val="18"/>
      <color rgb="FF3F3F3F"/>
      <name val="Nunito"/>
    </font>
    <font>
      <b/>
      <sz val="11"/>
      <color rgb="FF3F3F3F"/>
      <name val="Nunito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/>
      <bottom style="medium">
        <color rgb="FFD8D8D8"/>
      </bottom>
      <diagonal/>
    </border>
    <border>
      <left/>
      <right style="medium">
        <color rgb="FFD8D8D8"/>
      </right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 style="medium">
        <color rgb="FFD8D8D8"/>
      </right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D8D8D8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3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wrapText="1"/>
    </xf>
    <xf numFmtId="0" fontId="4" fillId="0" borderId="0" xfId="0" applyFont="1" applyAlignment="1">
      <alignment vertical="center"/>
    </xf>
    <xf numFmtId="0" fontId="2" fillId="0" borderId="6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6" fontId="2" fillId="0" borderId="4" xfId="0" applyNumberFormat="1" applyFont="1" applyBorder="1" applyAlignment="1">
      <alignment wrapText="1"/>
    </xf>
    <xf numFmtId="3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6" fontId="1" fillId="0" borderId="4" xfId="0" applyNumberFormat="1" applyFont="1" applyBorder="1" applyAlignment="1">
      <alignment horizontal="right" wrapText="1"/>
    </xf>
    <xf numFmtId="3" fontId="1" fillId="0" borderId="4" xfId="0" applyNumberFormat="1" applyFont="1" applyBorder="1" applyAlignment="1">
      <alignment horizontal="right" wrapText="1"/>
    </xf>
    <xf numFmtId="8" fontId="2" fillId="0" borderId="0" xfId="0" applyNumberFormat="1" applyFont="1" applyAlignment="1">
      <alignment wrapText="1"/>
    </xf>
    <xf numFmtId="174" fontId="2" fillId="0" borderId="4" xfId="0" applyNumberFormat="1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6" fontId="1" fillId="0" borderId="3" xfId="0" applyNumberFormat="1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2" fillId="0" borderId="7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8" fontId="2" fillId="0" borderId="4" xfId="0" applyNumberFormat="1" applyFont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wrapText="1"/>
    </xf>
    <xf numFmtId="178" fontId="2" fillId="0" borderId="4" xfId="0" applyNumberFormat="1" applyFont="1" applyBorder="1" applyAlignment="1">
      <alignment wrapText="1"/>
    </xf>
    <xf numFmtId="178" fontId="2" fillId="2" borderId="9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178" fontId="2" fillId="2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submission'!$C$5:$D$5</c:f>
              <c:numCache>
                <c:formatCode>#,##0</c:formatCode>
                <c:ptCount val="2"/>
                <c:pt idx="0" formatCode="General">
                  <c:v>1</c:v>
                </c:pt>
                <c:pt idx="1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0-4C2A-9CBA-FD56A3C23F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'first submission'!$C$6:$D$6</c:f>
              <c:numCache>
                <c:formatCode>General</c:formatCode>
                <c:ptCount val="2"/>
                <c:pt idx="0">
                  <c:v>1000</c:v>
                </c:pt>
                <c:pt idx="1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0-4C2A-9CBA-FD56A3C2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1391"/>
        <c:axId val="102770159"/>
      </c:lineChart>
      <c:catAx>
        <c:axId val="2964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0159"/>
        <c:crosses val="autoZero"/>
        <c:auto val="1"/>
        <c:lblAlgn val="ctr"/>
        <c:lblOffset val="100"/>
        <c:noMultiLvlLbl val="0"/>
      </c:catAx>
      <c:valAx>
        <c:axId val="102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33814523184596E-2"/>
          <c:y val="9.3009259259259264E-2"/>
          <c:w val="0.87232174103237092"/>
          <c:h val="0.61498432487605714"/>
        </c:manualLayout>
      </c:layout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'first submission'!$C$4:$D$4</c:f>
              <c:strCache>
                <c:ptCount val="2"/>
                <c:pt idx="0">
                  <c:v>Quantity</c:v>
                </c:pt>
                <c:pt idx="1">
                  <c:v>PRICE</c:v>
                </c:pt>
              </c:strCache>
            </c:strRef>
          </c:cat>
          <c:val>
            <c:numRef>
              <c:f>'first submission'!$C$5:$D$5</c:f>
              <c:numCache>
                <c:formatCode>#,##0</c:formatCode>
                <c:ptCount val="2"/>
                <c:pt idx="0" formatCode="General">
                  <c:v>1</c:v>
                </c:pt>
                <c:pt idx="1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D-40E7-827B-5B578296FC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'first submission'!$C$4:$D$4</c:f>
              <c:strCache>
                <c:ptCount val="2"/>
                <c:pt idx="0">
                  <c:v>Quantity</c:v>
                </c:pt>
                <c:pt idx="1">
                  <c:v>PRICE</c:v>
                </c:pt>
              </c:strCache>
            </c:strRef>
          </c:cat>
          <c:val>
            <c:numRef>
              <c:f>'first submission'!$C$6:$D$6</c:f>
              <c:numCache>
                <c:formatCode>General</c:formatCode>
                <c:ptCount val="2"/>
                <c:pt idx="0">
                  <c:v>1000</c:v>
                </c:pt>
                <c:pt idx="1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D-40E7-827B-5B578296F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990527"/>
        <c:axId val="555270111"/>
      </c:lineChart>
      <c:catAx>
        <c:axId val="5539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70111"/>
        <c:crosses val="autoZero"/>
        <c:auto val="1"/>
        <c:lblAlgn val="ctr"/>
        <c:lblOffset val="100"/>
        <c:noMultiLvlLbl val="0"/>
      </c:catAx>
      <c:valAx>
        <c:axId val="55527011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05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6658484953736"/>
          <c:y val="0.16295937272546812"/>
          <c:w val="0.7665648156592163"/>
          <c:h val="0.53613221678088308"/>
        </c:manualLayout>
      </c:layout>
      <c:lineChart>
        <c:grouping val="standard"/>
        <c:varyColors val="0"/>
        <c:ser>
          <c:idx val="1"/>
          <c:order val="1"/>
          <c:tx>
            <c:v>quantity to price graph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'first submission'!$C$5:$C$6</c:f>
              <c:numCache>
                <c:formatCode>General</c:formatCode>
                <c:ptCount val="2"/>
                <c:pt idx="0">
                  <c:v>1</c:v>
                </c:pt>
                <c:pt idx="1">
                  <c:v>1000</c:v>
                </c:pt>
              </c:numCache>
            </c:numRef>
          </c:cat>
          <c:val>
            <c:numRef>
              <c:f>'first submission'!$D$5:$D$6</c:f>
              <c:numCache>
                <c:formatCode>General</c:formatCode>
                <c:ptCount val="2"/>
                <c:pt idx="0" formatCode="#,##0">
                  <c:v>1750</c:v>
                </c:pt>
                <c:pt idx="1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9-4041-8D1F-4307A73A75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3985887"/>
        <c:axId val="555280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'first submission'!$C$4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'first submission'!$C$5:$C$6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'first submission'!$C$5:$C$6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99-4041-8D1F-4307A73A75A2}"/>
                  </c:ext>
                </c:extLst>
              </c15:ser>
            </c15:filteredLineSeries>
          </c:ext>
        </c:extLst>
      </c:lineChart>
      <c:catAx>
        <c:axId val="55398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0671"/>
        <c:crosses val="autoZero"/>
        <c:auto val="1"/>
        <c:lblAlgn val="ctr"/>
        <c:lblOffset val="100"/>
        <c:noMultiLvlLbl val="0"/>
      </c:catAx>
      <c:valAx>
        <c:axId val="5552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0582615088513"/>
          <c:y val="0.12476608456729794"/>
          <c:w val="0.7755163502222447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v>s1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'cost suply'!$A$8:$A$11</c:f>
              <c:numCache>
                <c:formatCode>#,##0</c:formatCode>
                <c:ptCount val="4"/>
                <c:pt idx="0" formatCode="General">
                  <c:v>1</c:v>
                </c:pt>
                <c:pt idx="1">
                  <c:v>5000</c:v>
                </c:pt>
                <c:pt idx="2">
                  <c:v>20000</c:v>
                </c:pt>
                <c:pt idx="3">
                  <c:v>50000</c:v>
                </c:pt>
              </c:numCache>
            </c:numRef>
          </c:cat>
          <c:val>
            <c:numRef>
              <c:f>'cost suply'!$B$8:$B$11</c:f>
              <c:numCache>
                <c:formatCode>"₹"#,##0_);[Red]\("₹"#,##0\)</c:formatCode>
                <c:ptCount val="4"/>
                <c:pt idx="0">
                  <c:v>1450</c:v>
                </c:pt>
                <c:pt idx="1">
                  <c:v>1425</c:v>
                </c:pt>
                <c:pt idx="2">
                  <c:v>1250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C-4EE6-8DA3-A5F033CFB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3127631"/>
        <c:axId val="555275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'cost suply'!$A$8:$A$11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 formatCode="General">
                        <c:v>1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'cost suply'!$A$8:$A$11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 formatCode="General">
                        <c:v>1</c:v>
                      </c:pt>
                      <c:pt idx="1">
                        <c:v>5000</c:v>
                      </c:pt>
                      <c:pt idx="2">
                        <c:v>20000</c:v>
                      </c:pt>
                      <c:pt idx="3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DC-4EE6-8DA3-A5F033CFBF9E}"/>
                  </c:ext>
                </c:extLst>
              </c15:ser>
            </c15:filteredLineSeries>
          </c:ext>
        </c:extLst>
      </c:lineChart>
      <c:catAx>
        <c:axId val="39312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75391"/>
        <c:crosses val="autoZero"/>
        <c:auto val="1"/>
        <c:lblAlgn val="ctr"/>
        <c:lblOffset val="100"/>
        <c:noMultiLvlLbl val="0"/>
      </c:catAx>
      <c:valAx>
        <c:axId val="5552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15</xdr:row>
      <xdr:rowOff>139700</xdr:rowOff>
    </xdr:from>
    <xdr:to>
      <xdr:col>6</xdr:col>
      <xdr:colOff>285750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04F8F-1B60-1690-1D5C-483521D83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21</xdr:row>
      <xdr:rowOff>101600</xdr:rowOff>
    </xdr:from>
    <xdr:to>
      <xdr:col>13</xdr:col>
      <xdr:colOff>231775</xdr:colOff>
      <xdr:row>22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045BC-091B-3534-7EEA-3F4F74440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254000</xdr:colOff>
      <xdr:row>2</xdr:row>
      <xdr:rowOff>112059</xdr:rowOff>
    </xdr:from>
    <xdr:to>
      <xdr:col>23</xdr:col>
      <xdr:colOff>88899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86545D-A7C4-F734-BAA3-FDD3FDF13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5</xdr:row>
      <xdr:rowOff>107950</xdr:rowOff>
    </xdr:from>
    <xdr:to>
      <xdr:col>15</xdr:col>
      <xdr:colOff>63499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77114-245D-EC17-3711-89615CCD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AC62-4905-48FD-9CDD-1BB7FA8A136B}">
  <dimension ref="B3:D9"/>
  <sheetViews>
    <sheetView topLeftCell="B1" zoomScale="85" zoomScaleNormal="85" workbookViewId="0">
      <selection activeCell="P19" sqref="P19"/>
    </sheetView>
  </sheetViews>
  <sheetFormatPr defaultRowHeight="14.5" x14ac:dyDescent="0.35"/>
  <sheetData>
    <row r="3" spans="2:4" ht="15" thickBot="1" x14ac:dyDescent="0.4"/>
    <row r="4" spans="2:4" ht="34.5" thickBot="1" x14ac:dyDescent="0.55000000000000004">
      <c r="C4" s="1" t="s">
        <v>0</v>
      </c>
      <c r="D4" s="1" t="s">
        <v>1</v>
      </c>
    </row>
    <row r="5" spans="2:4" ht="15" thickBot="1" x14ac:dyDescent="0.4">
      <c r="C5" s="2">
        <v>1</v>
      </c>
      <c r="D5" s="3">
        <v>1750</v>
      </c>
    </row>
    <row r="6" spans="2:4" ht="15" thickBot="1" x14ac:dyDescent="0.4">
      <c r="C6" s="2">
        <v>1000</v>
      </c>
      <c r="D6" s="4">
        <v>1575</v>
      </c>
    </row>
    <row r="8" spans="2:4" x14ac:dyDescent="0.35">
      <c r="B8" t="s">
        <v>12</v>
      </c>
      <c r="C8">
        <f>SLOPE(D5:D6,C5:C6)</f>
        <v>-0.17517517517517517</v>
      </c>
    </row>
    <row r="9" spans="2:4" x14ac:dyDescent="0.35">
      <c r="B9" t="s">
        <v>13</v>
      </c>
      <c r="C9">
        <f>INTERCEPT(D5:D6,C5:C6)</f>
        <v>1750.1751751751751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2E11-2F84-49D4-8DDC-AC11D910DAF6}">
  <dimension ref="A1:J22"/>
  <sheetViews>
    <sheetView zoomScaleNormal="100" workbookViewId="0">
      <selection activeCell="Q6" sqref="Q6"/>
    </sheetView>
  </sheetViews>
  <sheetFormatPr defaultRowHeight="14.5" x14ac:dyDescent="0.35"/>
  <cols>
    <col min="1" max="1" width="17.36328125" bestFit="1" customWidth="1"/>
    <col min="6" max="6" width="16.90625" bestFit="1" customWidth="1"/>
    <col min="7" max="7" width="14.54296875" bestFit="1" customWidth="1"/>
    <col min="8" max="8" width="15.7265625" bestFit="1" customWidth="1"/>
  </cols>
  <sheetData>
    <row r="1" spans="1:10" ht="17" x14ac:dyDescent="0.5">
      <c r="A1" s="5"/>
      <c r="B1" s="5"/>
      <c r="C1" s="5"/>
      <c r="D1" s="5"/>
      <c r="E1" s="5"/>
      <c r="F1" s="5"/>
      <c r="G1" s="5"/>
      <c r="H1" s="5"/>
      <c r="I1" s="5"/>
    </row>
    <row r="2" spans="1:10" ht="23.5" x14ac:dyDescent="0.5">
      <c r="A2" s="6" t="s">
        <v>2</v>
      </c>
      <c r="B2" s="5"/>
      <c r="C2" s="5"/>
      <c r="D2" s="5"/>
      <c r="E2" s="5"/>
      <c r="F2" s="5"/>
      <c r="G2" s="5"/>
      <c r="H2" s="5"/>
      <c r="I2" s="5"/>
      <c r="J2">
        <f>G6*12000+G5</f>
        <v>1343.3333333333333</v>
      </c>
    </row>
    <row r="3" spans="1:10" ht="17" x14ac:dyDescent="0.5">
      <c r="A3" s="5"/>
      <c r="B3" s="5"/>
      <c r="C3" s="5"/>
      <c r="D3" s="5"/>
      <c r="E3" s="5"/>
      <c r="F3" s="5"/>
      <c r="G3" s="5"/>
      <c r="H3" s="5"/>
      <c r="I3" s="5"/>
    </row>
    <row r="4" spans="1:10" ht="17.5" thickBot="1" x14ac:dyDescent="0.55000000000000004">
      <c r="A4" s="5"/>
      <c r="B4" s="5"/>
      <c r="C4" s="5"/>
      <c r="D4" s="5"/>
      <c r="E4" s="7"/>
      <c r="F4" s="7" t="s">
        <v>3</v>
      </c>
      <c r="G4" s="7" t="s">
        <v>4</v>
      </c>
      <c r="H4" s="7" t="s">
        <v>5</v>
      </c>
      <c r="I4" s="5"/>
    </row>
    <row r="5" spans="1:10" ht="34.5" thickBot="1" x14ac:dyDescent="0.55000000000000004">
      <c r="A5" s="8" t="s">
        <v>6</v>
      </c>
      <c r="B5" s="5"/>
      <c r="C5" s="5"/>
      <c r="D5" s="9"/>
      <c r="E5" s="10" t="s">
        <v>7</v>
      </c>
      <c r="F5" s="11">
        <f>INTERCEPT(B8:B9,A8:A9)</f>
        <v>1450.0050010002001</v>
      </c>
      <c r="G5" s="11">
        <f>INTERCEPT(B9:B10,A9:A10)</f>
        <v>1483.3333333333333</v>
      </c>
      <c r="H5" s="11">
        <f>INTERCEPT(B10:B11,A10:A11)</f>
        <v>1783.3333333333335</v>
      </c>
      <c r="I5" s="5"/>
    </row>
    <row r="6" spans="1:10" ht="17.5" thickBot="1" x14ac:dyDescent="0.55000000000000004">
      <c r="A6" s="7"/>
      <c r="B6" s="7"/>
      <c r="C6" s="5"/>
      <c r="D6" s="9"/>
      <c r="E6" s="10" t="s">
        <v>8</v>
      </c>
      <c r="F6" s="11">
        <f>SLOPE(B8:B9,A8:A9)</f>
        <v>-5.0010002000400082E-3</v>
      </c>
      <c r="G6" s="11">
        <f>SLOPE(B9:B10,A9:A10)</f>
        <v>-1.1666666666666667E-2</v>
      </c>
      <c r="H6" s="11">
        <f>SLOPE(B10:B11,A10:A11)</f>
        <v>-2.6666666666666668E-2</v>
      </c>
      <c r="I6" s="5"/>
    </row>
    <row r="7" spans="1:10" ht="51.5" thickBot="1" x14ac:dyDescent="0.55000000000000004">
      <c r="A7" s="12" t="s">
        <v>9</v>
      </c>
      <c r="B7" s="13" t="s">
        <v>10</v>
      </c>
      <c r="C7" s="5"/>
      <c r="D7" s="5"/>
      <c r="E7" s="5"/>
      <c r="F7" s="5"/>
      <c r="G7" s="5"/>
      <c r="H7" s="5"/>
      <c r="I7" s="5"/>
    </row>
    <row r="8" spans="1:10" ht="17.5" thickBot="1" x14ac:dyDescent="0.55000000000000004">
      <c r="A8" s="12">
        <v>1</v>
      </c>
      <c r="B8" s="14">
        <v>1450</v>
      </c>
      <c r="C8" s="5"/>
      <c r="D8" s="5"/>
      <c r="E8" s="7"/>
      <c r="F8" s="7"/>
      <c r="G8" s="7"/>
      <c r="H8" s="7"/>
      <c r="I8" s="5"/>
    </row>
    <row r="9" spans="1:10" ht="51.5" thickBot="1" x14ac:dyDescent="0.55000000000000004">
      <c r="A9" s="15">
        <v>5000</v>
      </c>
      <c r="B9" s="14">
        <v>1425</v>
      </c>
      <c r="C9" s="5"/>
      <c r="D9" s="9"/>
      <c r="E9" s="16" t="s">
        <v>9</v>
      </c>
      <c r="F9" s="16" t="s">
        <v>11</v>
      </c>
      <c r="G9" s="16" t="s">
        <v>11</v>
      </c>
      <c r="H9" s="16" t="s">
        <v>11</v>
      </c>
      <c r="I9" s="5"/>
    </row>
    <row r="10" spans="1:10" ht="17.5" thickBot="1" x14ac:dyDescent="0.55000000000000004">
      <c r="A10" s="15">
        <v>20000</v>
      </c>
      <c r="B10" s="14">
        <v>1250</v>
      </c>
      <c r="C10" s="5"/>
      <c r="D10" s="9"/>
      <c r="E10" s="10">
        <v>1</v>
      </c>
      <c r="F10" s="17">
        <v>1450</v>
      </c>
      <c r="G10" s="17">
        <v>1450</v>
      </c>
      <c r="H10" s="17">
        <v>1450</v>
      </c>
      <c r="I10" s="5"/>
    </row>
    <row r="11" spans="1:10" ht="17.5" thickBot="1" x14ac:dyDescent="0.55000000000000004">
      <c r="A11" s="15">
        <v>50000</v>
      </c>
      <c r="B11" s="14">
        <v>450</v>
      </c>
      <c r="C11" s="5"/>
      <c r="D11" s="9"/>
      <c r="E11" s="18">
        <v>1000</v>
      </c>
      <c r="F11" s="20">
        <f>$F$6*E11+$F$5</f>
        <v>1445.0040008001602</v>
      </c>
      <c r="G11" s="20">
        <f t="shared" ref="G11:H11" si="0">$F$6*$E$11+$F$5</f>
        <v>1445.0040008001602</v>
      </c>
      <c r="H11" s="20">
        <f t="shared" si="0"/>
        <v>1445.0040008001602</v>
      </c>
      <c r="I11" s="5"/>
    </row>
    <row r="12" spans="1:10" ht="17.5" thickBot="1" x14ac:dyDescent="0.55000000000000004">
      <c r="A12" s="5"/>
      <c r="B12" s="5"/>
      <c r="C12" s="5"/>
      <c r="D12" s="9"/>
      <c r="E12" s="18">
        <v>5000</v>
      </c>
      <c r="F12" s="21">
        <f>$F$6*E12+$F$5</f>
        <v>1425</v>
      </c>
      <c r="G12" s="11">
        <v>1425</v>
      </c>
      <c r="H12" s="11">
        <v>1425</v>
      </c>
      <c r="I12" s="5"/>
    </row>
    <row r="13" spans="1:10" ht="17.5" thickBot="1" x14ac:dyDescent="0.55000000000000004">
      <c r="A13" s="19"/>
      <c r="B13" s="5"/>
      <c r="C13" s="5"/>
      <c r="D13" s="9"/>
      <c r="E13" s="18">
        <v>10000</v>
      </c>
      <c r="F13" s="11">
        <f>$G$6*E13+$G$5</f>
        <v>1366.6666666666665</v>
      </c>
      <c r="G13" s="11">
        <v>1366.6666666666665</v>
      </c>
      <c r="H13" s="11">
        <v>1366.6666666666665</v>
      </c>
      <c r="I13" s="5"/>
    </row>
    <row r="14" spans="1:10" ht="17.5" thickBot="1" x14ac:dyDescent="0.55000000000000004">
      <c r="A14" s="5"/>
      <c r="B14" s="5"/>
      <c r="C14" s="5"/>
      <c r="D14" s="9"/>
      <c r="E14" s="18">
        <v>15000</v>
      </c>
      <c r="F14" s="11">
        <f t="shared" ref="F14:F15" si="1">$G$6*E14+$G$5</f>
        <v>1308.3333333333333</v>
      </c>
      <c r="G14" s="11">
        <v>1308.3333333333333</v>
      </c>
      <c r="H14" s="11">
        <v>1308.3333333333333</v>
      </c>
      <c r="I14" s="5"/>
    </row>
    <row r="15" spans="1:10" ht="17.5" thickBot="1" x14ac:dyDescent="0.55000000000000004">
      <c r="A15" s="5"/>
      <c r="B15" s="5"/>
      <c r="C15" s="5"/>
      <c r="D15" s="9"/>
      <c r="E15" s="18">
        <v>20000</v>
      </c>
      <c r="F15" s="11">
        <f t="shared" si="1"/>
        <v>1250</v>
      </c>
      <c r="G15" s="17">
        <v>1250</v>
      </c>
      <c r="H15" s="17">
        <v>1250</v>
      </c>
      <c r="I15" s="5"/>
    </row>
    <row r="16" spans="1:10" ht="17.5" thickBot="1" x14ac:dyDescent="0.55000000000000004">
      <c r="A16" s="5"/>
      <c r="B16" s="5"/>
      <c r="C16" s="5"/>
      <c r="D16" s="9"/>
      <c r="E16" s="18">
        <v>25000</v>
      </c>
      <c r="F16" s="11">
        <f>$H$6*$E$16+$H$5</f>
        <v>1116.6666666666667</v>
      </c>
      <c r="G16" s="11">
        <f t="shared" ref="G16:H16" si="2">$H$6*$E$16+$H$5</f>
        <v>1116.6666666666667</v>
      </c>
      <c r="H16" s="11">
        <f t="shared" si="2"/>
        <v>1116.6666666666667</v>
      </c>
      <c r="I16" s="5"/>
    </row>
    <row r="17" spans="1:9" ht="17.5" thickBot="1" x14ac:dyDescent="0.55000000000000004">
      <c r="A17" s="5"/>
      <c r="B17" s="5"/>
      <c r="C17" s="5"/>
      <c r="D17" s="9"/>
      <c r="E17" s="18">
        <v>30000</v>
      </c>
      <c r="F17" s="11">
        <f>$H$6*$E$17+$H$5</f>
        <v>983.33333333333348</v>
      </c>
      <c r="G17" s="11">
        <f t="shared" ref="G17:H17" si="3">$H$6*$E$17+$H$5</f>
        <v>983.33333333333348</v>
      </c>
      <c r="H17" s="11">
        <f t="shared" si="3"/>
        <v>983.33333333333348</v>
      </c>
      <c r="I17" s="5"/>
    </row>
    <row r="18" spans="1:9" ht="17.5" thickBot="1" x14ac:dyDescent="0.55000000000000004">
      <c r="A18" s="5"/>
      <c r="B18" s="5"/>
      <c r="C18" s="5"/>
      <c r="D18" s="9"/>
      <c r="E18" s="18">
        <v>35000</v>
      </c>
      <c r="F18" s="11">
        <f>$H$6*$E$18+$H$5</f>
        <v>850.00000000000011</v>
      </c>
      <c r="G18" s="11">
        <f t="shared" ref="G18:H18" si="4">$H$6*$E$18+$H$5</f>
        <v>850.00000000000011</v>
      </c>
      <c r="H18" s="11">
        <f t="shared" si="4"/>
        <v>850.00000000000011</v>
      </c>
      <c r="I18" s="5"/>
    </row>
    <row r="19" spans="1:9" ht="17.5" thickBot="1" x14ac:dyDescent="0.55000000000000004">
      <c r="A19" s="5"/>
      <c r="B19" s="5"/>
      <c r="C19" s="5"/>
      <c r="D19" s="9"/>
      <c r="E19" s="18">
        <v>40000</v>
      </c>
      <c r="F19" s="11">
        <f>$H$6*$E$19+$H$5</f>
        <v>716.66666666666674</v>
      </c>
      <c r="G19" s="11">
        <f t="shared" ref="G19:H19" si="5">$H$6*$E$19+$H$5</f>
        <v>716.66666666666674</v>
      </c>
      <c r="H19" s="11">
        <f t="shared" si="5"/>
        <v>716.66666666666674</v>
      </c>
      <c r="I19" s="5"/>
    </row>
    <row r="20" spans="1:9" ht="17.5" thickBot="1" x14ac:dyDescent="0.55000000000000004">
      <c r="A20" s="5"/>
      <c r="B20" s="5"/>
      <c r="C20" s="5"/>
      <c r="D20" s="9"/>
      <c r="E20" s="18">
        <v>45000</v>
      </c>
      <c r="F20" s="11">
        <f>$H$6*$E$20+$H$5</f>
        <v>583.33333333333348</v>
      </c>
      <c r="G20" s="11">
        <f t="shared" ref="G20:H20" si="6">$H$6*$E$20+$H$5</f>
        <v>583.33333333333348</v>
      </c>
      <c r="H20" s="11">
        <f t="shared" si="6"/>
        <v>583.33333333333348</v>
      </c>
      <c r="I20" s="5"/>
    </row>
    <row r="21" spans="1:9" ht="17.5" thickBot="1" x14ac:dyDescent="0.55000000000000004">
      <c r="A21" s="5"/>
      <c r="B21" s="5"/>
      <c r="C21" s="5"/>
      <c r="D21" s="9"/>
      <c r="E21" s="18">
        <v>50000</v>
      </c>
      <c r="F21" s="11">
        <f t="shared" ref="F17:F22" si="7">$H$6*E21+$H$5</f>
        <v>450</v>
      </c>
      <c r="G21" s="11">
        <f>450</f>
        <v>450</v>
      </c>
      <c r="H21" s="17">
        <v>450</v>
      </c>
      <c r="I21" s="5"/>
    </row>
    <row r="22" spans="1:9" ht="17.5" thickBot="1" x14ac:dyDescent="0.55000000000000004">
      <c r="A22" s="5"/>
      <c r="B22" s="5"/>
      <c r="C22" s="5"/>
      <c r="D22" s="9"/>
      <c r="E22" s="18">
        <v>55000</v>
      </c>
      <c r="F22" s="11">
        <f>$H$6*$E$22+$H$5</f>
        <v>316.66666666666674</v>
      </c>
      <c r="G22" s="11">
        <f t="shared" ref="G22:H22" si="8">$H$6*$E$22+$H$5</f>
        <v>316.66666666666674</v>
      </c>
      <c r="H22" s="11">
        <f t="shared" si="8"/>
        <v>316.66666666666674</v>
      </c>
      <c r="I22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2E16-5771-43C1-A511-730B0E9A92EC}">
  <dimension ref="A1:H15"/>
  <sheetViews>
    <sheetView workbookViewId="0">
      <selection activeCell="D5" sqref="D5"/>
    </sheetView>
  </sheetViews>
  <sheetFormatPr defaultRowHeight="14.5" x14ac:dyDescent="0.35"/>
  <cols>
    <col min="2" max="2" width="14.1796875" bestFit="1" customWidth="1"/>
  </cols>
  <sheetData>
    <row r="1" spans="1:8" ht="17" x14ac:dyDescent="0.5">
      <c r="A1" s="5"/>
      <c r="B1" s="5"/>
      <c r="C1" s="5"/>
      <c r="D1" s="5"/>
      <c r="E1" s="5"/>
      <c r="F1" s="5"/>
      <c r="G1" s="5"/>
      <c r="H1" s="5"/>
    </row>
    <row r="2" spans="1:8" ht="27" x14ac:dyDescent="0.5">
      <c r="A2" s="6" t="s">
        <v>14</v>
      </c>
      <c r="B2" s="5"/>
      <c r="C2" s="5"/>
      <c r="D2" s="5"/>
      <c r="E2" s="5"/>
      <c r="F2" s="5"/>
      <c r="G2" s="5"/>
      <c r="H2" s="5"/>
    </row>
    <row r="3" spans="1:8" ht="17.5" thickBot="1" x14ac:dyDescent="0.55000000000000004">
      <c r="A3" s="7"/>
      <c r="B3" s="7"/>
      <c r="C3" s="5"/>
      <c r="D3" s="5"/>
      <c r="E3" s="5"/>
      <c r="F3" s="5"/>
      <c r="G3" s="5"/>
      <c r="H3" s="5"/>
    </row>
    <row r="4" spans="1:8" ht="34.5" thickBot="1" x14ac:dyDescent="0.55000000000000004">
      <c r="A4" s="42" t="s">
        <v>15</v>
      </c>
      <c r="B4" s="43" t="s">
        <v>16</v>
      </c>
      <c r="C4" s="5"/>
      <c r="D4" s="5"/>
      <c r="E4" s="5"/>
      <c r="F4" s="5"/>
      <c r="G4" s="5"/>
      <c r="H4" s="5"/>
    </row>
    <row r="5" spans="1:8" ht="17.5" thickBot="1" x14ac:dyDescent="0.55000000000000004">
      <c r="A5" s="23">
        <v>8000</v>
      </c>
      <c r="B5" s="10">
        <v>175</v>
      </c>
      <c r="C5" s="5"/>
      <c r="D5" s="5"/>
      <c r="E5" s="5"/>
      <c r="F5" s="5"/>
      <c r="G5" s="5"/>
      <c r="H5" s="5"/>
    </row>
    <row r="6" spans="1:8" ht="17.5" thickBot="1" x14ac:dyDescent="0.55000000000000004">
      <c r="A6" s="23">
        <v>5000</v>
      </c>
      <c r="B6" s="18">
        <v>10500</v>
      </c>
      <c r="C6" s="5"/>
      <c r="D6" s="5"/>
      <c r="E6" s="5"/>
      <c r="F6" s="5"/>
      <c r="G6" s="5"/>
      <c r="H6" s="5"/>
    </row>
    <row r="7" spans="1:8" ht="17" x14ac:dyDescent="0.5">
      <c r="A7" s="5"/>
      <c r="B7" s="5"/>
      <c r="C7" s="5"/>
      <c r="D7" s="5"/>
      <c r="E7" s="5"/>
      <c r="F7" s="5"/>
      <c r="G7" s="5"/>
      <c r="H7" s="5"/>
    </row>
    <row r="8" spans="1:8" ht="17.5" thickBot="1" x14ac:dyDescent="0.55000000000000004">
      <c r="A8" s="7"/>
      <c r="B8" s="5"/>
      <c r="C8" s="5"/>
      <c r="D8" s="5"/>
      <c r="E8" s="5"/>
      <c r="F8" s="5"/>
      <c r="G8" s="5"/>
      <c r="H8" s="5"/>
    </row>
    <row r="9" spans="1:8" ht="34.5" thickBot="1" x14ac:dyDescent="0.55000000000000004">
      <c r="A9" s="22" t="s">
        <v>7</v>
      </c>
      <c r="B9" s="24">
        <f>INTERCEPT(B5:B6,A5:A6)</f>
        <v>27708.333333333336</v>
      </c>
      <c r="C9" s="5"/>
      <c r="D9" s="5"/>
      <c r="E9" s="5"/>
      <c r="F9" s="5"/>
      <c r="G9" s="5"/>
      <c r="H9" s="5"/>
    </row>
    <row r="10" spans="1:8" ht="17.5" thickBot="1" x14ac:dyDescent="0.55000000000000004">
      <c r="A10" s="22" t="s">
        <v>8</v>
      </c>
      <c r="B10" s="10">
        <f>SLOPE(B5:B6,A5:A6)</f>
        <v>-3.4416666666666669</v>
      </c>
      <c r="C10" s="5"/>
      <c r="D10" s="5"/>
      <c r="E10" s="5"/>
      <c r="F10" s="5"/>
      <c r="G10" s="5"/>
      <c r="H10" s="5"/>
    </row>
    <row r="11" spans="1:8" ht="17" x14ac:dyDescent="0.5">
      <c r="A11" s="5"/>
      <c r="B11" s="5"/>
      <c r="C11" s="5"/>
      <c r="D11" s="5"/>
      <c r="E11" s="5"/>
      <c r="F11" s="5"/>
      <c r="G11" s="5"/>
      <c r="H11" s="5"/>
    </row>
    <row r="12" spans="1:8" ht="17" x14ac:dyDescent="0.5">
      <c r="A12" s="5"/>
      <c r="B12" s="5"/>
      <c r="C12" s="5"/>
      <c r="D12" s="5"/>
      <c r="E12" s="5"/>
      <c r="F12" s="5"/>
      <c r="G12" s="5"/>
      <c r="H12" s="5"/>
    </row>
    <row r="13" spans="1:8" ht="17" x14ac:dyDescent="0.5">
      <c r="A13" s="5"/>
      <c r="B13" s="5"/>
      <c r="C13" s="5"/>
      <c r="D13" s="5"/>
      <c r="E13" s="5"/>
      <c r="F13" s="5"/>
      <c r="G13" s="5"/>
      <c r="H13" s="5"/>
    </row>
    <row r="14" spans="1:8" ht="17" x14ac:dyDescent="0.5">
      <c r="A14" s="5"/>
      <c r="B14" s="5"/>
      <c r="C14" s="5"/>
      <c r="D14" s="5"/>
      <c r="E14" s="5"/>
      <c r="F14" s="5"/>
      <c r="G14" s="5"/>
      <c r="H14" s="5"/>
    </row>
    <row r="15" spans="1:8" ht="17" x14ac:dyDescent="0.5">
      <c r="A15" s="5"/>
      <c r="B15" s="5"/>
      <c r="C15" s="5"/>
      <c r="D15" s="5"/>
      <c r="E15" s="5"/>
      <c r="F15" s="5"/>
      <c r="G15" s="5"/>
      <c r="H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A801-3C1A-4AAD-8E27-315440AE3435}">
  <dimension ref="A1:O38"/>
  <sheetViews>
    <sheetView tabSelected="1" topLeftCell="A4" workbookViewId="0">
      <selection activeCell="D15" sqref="D15"/>
    </sheetView>
  </sheetViews>
  <sheetFormatPr defaultRowHeight="14.5" x14ac:dyDescent="0.35"/>
  <cols>
    <col min="1" max="1" width="13.08984375" customWidth="1"/>
    <col min="2" max="2" width="12.6328125" customWidth="1"/>
    <col min="3" max="3" width="19.08984375" customWidth="1"/>
    <col min="4" max="4" width="21.6328125" customWidth="1"/>
    <col min="5" max="6" width="18.26953125" customWidth="1"/>
    <col min="7" max="7" width="13.08984375" customWidth="1"/>
    <col min="8" max="8" width="19.81640625" customWidth="1"/>
    <col min="9" max="9" width="21.1796875" customWidth="1"/>
    <col min="10" max="10" width="12.26953125" customWidth="1"/>
  </cols>
  <sheetData>
    <row r="1" spans="1:15" ht="27" x14ac:dyDescent="0.5">
      <c r="A1" s="6" t="s">
        <v>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5" ht="17.5" thickBot="1" x14ac:dyDescent="0.55000000000000004">
      <c r="A2" s="7"/>
      <c r="B2" s="7"/>
      <c r="C2" s="7"/>
      <c r="D2" s="7"/>
      <c r="E2" s="5"/>
      <c r="F2" s="5"/>
      <c r="G2" s="5"/>
      <c r="H2" s="5"/>
      <c r="I2" s="5"/>
      <c r="J2" s="5"/>
      <c r="K2" s="5"/>
      <c r="L2" s="5"/>
    </row>
    <row r="3" spans="1:15" ht="17.5" thickBot="1" x14ac:dyDescent="0.4">
      <c r="A3" s="25"/>
      <c r="B3" s="26" t="s">
        <v>18</v>
      </c>
      <c r="C3" s="26" t="s">
        <v>19</v>
      </c>
      <c r="D3" s="26" t="s">
        <v>20</v>
      </c>
      <c r="E3" s="27"/>
      <c r="F3" s="27"/>
      <c r="G3" s="27"/>
      <c r="H3" s="27"/>
      <c r="I3" s="27"/>
      <c r="J3" s="27"/>
      <c r="K3" s="27"/>
      <c r="L3" s="27"/>
    </row>
    <row r="4" spans="1:15" ht="17.5" thickBot="1" x14ac:dyDescent="0.55000000000000004">
      <c r="A4" s="25" t="s">
        <v>21</v>
      </c>
      <c r="B4" s="10">
        <v>2000</v>
      </c>
      <c r="C4" s="10">
        <v>10000</v>
      </c>
      <c r="D4" s="10">
        <f>B4+C4</f>
        <v>12000</v>
      </c>
      <c r="E4" s="5"/>
      <c r="F4" s="5"/>
      <c r="G4" s="5"/>
      <c r="H4" s="5"/>
      <c r="I4" s="5"/>
      <c r="J4" s="5"/>
      <c r="K4" s="5"/>
      <c r="L4" s="5"/>
    </row>
    <row r="5" spans="1:15" ht="17" x14ac:dyDescent="0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5" ht="17.5" thickBot="1" x14ac:dyDescent="0.55000000000000004">
      <c r="A6" s="28" t="s">
        <v>22</v>
      </c>
      <c r="B6" s="7"/>
      <c r="C6" s="5"/>
      <c r="D6" s="29" t="s">
        <v>23</v>
      </c>
      <c r="E6" s="30"/>
      <c r="F6" s="44"/>
      <c r="G6" s="5"/>
      <c r="H6" s="5"/>
      <c r="I6" s="5"/>
      <c r="J6" s="5"/>
      <c r="K6" s="5"/>
      <c r="L6" s="5"/>
    </row>
    <row r="7" spans="1:15" ht="34.5" thickBot="1" x14ac:dyDescent="0.4">
      <c r="A7" s="25" t="s">
        <v>24</v>
      </c>
      <c r="B7" s="31">
        <v>12000</v>
      </c>
      <c r="C7" s="32"/>
      <c r="D7" s="33" t="s">
        <v>25</v>
      </c>
      <c r="E7" s="41">
        <v>7675</v>
      </c>
      <c r="F7" s="45"/>
      <c r="G7" s="27"/>
      <c r="H7" s="27"/>
      <c r="I7" s="27"/>
      <c r="J7" s="27"/>
      <c r="K7" s="27"/>
      <c r="L7" s="27"/>
    </row>
    <row r="8" spans="1:15" ht="34.5" thickBot="1" x14ac:dyDescent="0.55000000000000004">
      <c r="A8" s="34" t="s">
        <v>26</v>
      </c>
      <c r="B8" s="31">
        <v>6000</v>
      </c>
      <c r="C8" s="32"/>
      <c r="D8" s="26" t="s">
        <v>16</v>
      </c>
      <c r="E8" s="31">
        <v>1800</v>
      </c>
      <c r="F8" s="46"/>
      <c r="G8" s="27"/>
      <c r="H8" s="27"/>
      <c r="I8" s="5"/>
      <c r="J8" s="27"/>
      <c r="K8" s="27"/>
      <c r="L8" s="27"/>
    </row>
    <row r="9" spans="1:15" ht="17" x14ac:dyDescent="0.5">
      <c r="A9" s="5"/>
      <c r="B9" s="5"/>
      <c r="C9" s="5"/>
      <c r="D9" s="5"/>
      <c r="E9" s="5"/>
      <c r="F9" s="5"/>
      <c r="G9" s="5">
        <f>MROUND(G12,25)</f>
        <v>8075</v>
      </c>
      <c r="H9" s="5"/>
      <c r="I9" s="5"/>
      <c r="J9" s="5"/>
      <c r="K9" s="5"/>
      <c r="L9" s="5"/>
    </row>
    <row r="10" spans="1:15" ht="17.5" thickBot="1" x14ac:dyDescent="0.55000000000000004">
      <c r="A10" s="7"/>
      <c r="B10" s="7"/>
      <c r="C10" s="7"/>
      <c r="D10" s="7"/>
      <c r="E10" s="7"/>
      <c r="F10" s="7"/>
      <c r="G10" s="7"/>
      <c r="H10" s="7"/>
      <c r="I10" s="7"/>
      <c r="J10" s="7"/>
      <c r="K10" s="5"/>
      <c r="L10" s="5"/>
    </row>
    <row r="11" spans="1:15" ht="34.5" thickBot="1" x14ac:dyDescent="0.55000000000000004">
      <c r="A11" s="35" t="s">
        <v>9</v>
      </c>
      <c r="B11" s="36" t="s">
        <v>27</v>
      </c>
      <c r="C11" s="36" t="s">
        <v>28</v>
      </c>
      <c r="D11" s="36" t="s">
        <v>29</v>
      </c>
      <c r="E11" s="36" t="s">
        <v>30</v>
      </c>
      <c r="F11" s="36" t="s">
        <v>37</v>
      </c>
      <c r="G11" s="36" t="s">
        <v>37</v>
      </c>
      <c r="H11" s="36" t="s">
        <v>38</v>
      </c>
      <c r="I11" s="36" t="s">
        <v>31</v>
      </c>
      <c r="J11" s="36" t="s">
        <v>32</v>
      </c>
      <c r="K11" s="5"/>
      <c r="L11" s="27" t="s">
        <v>35</v>
      </c>
      <c r="M11" s="38" t="s">
        <v>36</v>
      </c>
    </row>
    <row r="12" spans="1:15" ht="17.5" thickBot="1" x14ac:dyDescent="0.55000000000000004">
      <c r="A12" s="12">
        <v>500</v>
      </c>
      <c r="B12" s="40">
        <f>A12*'cost suply'!$F$6+'cost suply'!$F$5</f>
        <v>1447.5045009001801</v>
      </c>
      <c r="C12" s="17">
        <f>(B12+$B$8)</f>
        <v>7447.5045009001806</v>
      </c>
      <c r="D12" s="11">
        <f>ROUNDUP(IF(A12&gt;2000,(A12-2000)/1800,0),0)</f>
        <v>0</v>
      </c>
      <c r="E12" s="37">
        <f>C12*A12</f>
        <v>3723752.2504500905</v>
      </c>
      <c r="F12" s="37">
        <f>MROUND(G12,25)</f>
        <v>8075</v>
      </c>
      <c r="G12" s="40">
        <f>($N$13*A12+$O$13)*1.02</f>
        <v>8063.6803874092002</v>
      </c>
      <c r="H12" s="40">
        <f>F12*A12</f>
        <v>4037500</v>
      </c>
      <c r="I12" s="37">
        <f>H12-E12</f>
        <v>313747.74954990949</v>
      </c>
      <c r="J12" s="39">
        <f>I12/H12</f>
        <v>7.7708420941154058E-2</v>
      </c>
      <c r="K12" s="5"/>
      <c r="L12" t="s">
        <v>33</v>
      </c>
      <c r="M12" t="s">
        <v>34</v>
      </c>
      <c r="N12" t="s">
        <v>12</v>
      </c>
      <c r="O12" t="s">
        <v>13</v>
      </c>
    </row>
    <row r="13" spans="1:15" ht="17.5" thickBot="1" x14ac:dyDescent="0.55000000000000004">
      <c r="A13" s="15">
        <f>500+A12</f>
        <v>1000</v>
      </c>
      <c r="B13" s="40">
        <f>A13*'cost suply'!$F$6+'cost suply'!$F$5</f>
        <v>1445.0040008001602</v>
      </c>
      <c r="C13" s="17">
        <f t="shared" ref="C13:C32" si="0">(B13+$B$8)</f>
        <v>7445.0040008001597</v>
      </c>
      <c r="D13" s="11">
        <f t="shared" ref="D13:D32" si="1">ROUNDUP(IF(A13&gt;2000,(A13-2000)/1800,0),0)</f>
        <v>0</v>
      </c>
      <c r="E13" s="37">
        <f t="shared" ref="E13:E32" si="2">C13*A13</f>
        <v>7445004.0008001598</v>
      </c>
      <c r="F13" s="37">
        <f t="shared" ref="F13:F32" si="3">MROUND(G13,25)</f>
        <v>7925</v>
      </c>
      <c r="G13" s="40">
        <f>($N$13*A13+$O$13)*1.02</f>
        <v>7915.4963680387409</v>
      </c>
      <c r="H13" s="40">
        <f t="shared" ref="H13:H32" si="4">F13*A13</f>
        <v>7925000</v>
      </c>
      <c r="I13" s="37">
        <f t="shared" ref="I13:I32" si="5">H13-E13</f>
        <v>479995.99919984024</v>
      </c>
      <c r="J13" s="39">
        <f t="shared" ref="J13:J32" si="6">I13/H13</f>
        <v>6.0567318511020853E-2</v>
      </c>
      <c r="K13" s="5"/>
      <c r="L13">
        <v>5000</v>
      </c>
      <c r="M13">
        <v>10500</v>
      </c>
      <c r="N13">
        <f>SLOPE(L13:L14,M13:M14)</f>
        <v>-0.29055690072639223</v>
      </c>
      <c r="O13">
        <f>INTERCEPT(L13:L14,M13:M14)</f>
        <v>8050.8474576271183</v>
      </c>
    </row>
    <row r="14" spans="1:15" ht="17.5" thickBot="1" x14ac:dyDescent="0.55000000000000004">
      <c r="A14" s="15">
        <f t="shared" ref="A14:A32" si="7">500+A13</f>
        <v>1500</v>
      </c>
      <c r="B14" s="40">
        <f>A14*'cost suply'!$F$6+'cost suply'!$F$5</f>
        <v>1442.50350070014</v>
      </c>
      <c r="C14" s="17">
        <f t="shared" si="0"/>
        <v>7442.5035007001397</v>
      </c>
      <c r="D14" s="11">
        <f t="shared" si="1"/>
        <v>0</v>
      </c>
      <c r="E14" s="37">
        <f t="shared" si="2"/>
        <v>11163755.25105021</v>
      </c>
      <c r="F14" s="37">
        <f t="shared" si="3"/>
        <v>7775</v>
      </c>
      <c r="G14" s="40">
        <f>($N$13*A14+$O$13)*1.02</f>
        <v>7767.3123486682807</v>
      </c>
      <c r="H14" s="40">
        <f t="shared" si="4"/>
        <v>11662500</v>
      </c>
      <c r="I14" s="37">
        <f t="shared" si="5"/>
        <v>498744.74894979037</v>
      </c>
      <c r="J14" s="39">
        <f t="shared" si="6"/>
        <v>4.276482306107527E-2</v>
      </c>
      <c r="K14" s="5"/>
      <c r="L14">
        <v>8000</v>
      </c>
      <c r="M14">
        <v>175</v>
      </c>
    </row>
    <row r="15" spans="1:15" ht="17.5" thickBot="1" x14ac:dyDescent="0.55000000000000004">
      <c r="A15" s="15">
        <v>1800</v>
      </c>
      <c r="B15" s="40">
        <f>A15*'cost suply'!$F$6+'cost suply'!$F$5</f>
        <v>1441.0032006401282</v>
      </c>
      <c r="C15" s="17">
        <f t="shared" si="0"/>
        <v>7441.0032006401279</v>
      </c>
      <c r="D15" s="11">
        <f t="shared" si="1"/>
        <v>0</v>
      </c>
      <c r="E15" s="37">
        <f t="shared" si="2"/>
        <v>13393805.76115223</v>
      </c>
      <c r="F15" s="37">
        <f t="shared" si="3"/>
        <v>7675</v>
      </c>
      <c r="G15" s="40">
        <f>($N$13*A15+$O$13)*1.02</f>
        <v>7678.4019370460046</v>
      </c>
      <c r="H15" s="40">
        <f t="shared" si="4"/>
        <v>13815000</v>
      </c>
      <c r="I15" s="37">
        <f t="shared" si="5"/>
        <v>421194.2388477698</v>
      </c>
      <c r="J15" s="39">
        <f t="shared" si="6"/>
        <v>3.0488182327019168E-2</v>
      </c>
      <c r="K15" s="5"/>
      <c r="L15" s="5"/>
    </row>
    <row r="16" spans="1:15" ht="17.5" thickBot="1" x14ac:dyDescent="0.55000000000000004">
      <c r="A16" s="15">
        <f>A15+200</f>
        <v>2000</v>
      </c>
      <c r="B16" s="40">
        <f>A16*'cost suply'!$F$6+'cost suply'!$F$5</f>
        <v>1440.00300060012</v>
      </c>
      <c r="C16" s="17">
        <f t="shared" si="0"/>
        <v>7440.0030006001198</v>
      </c>
      <c r="D16" s="11">
        <f t="shared" si="1"/>
        <v>0</v>
      </c>
      <c r="E16" s="37">
        <f t="shared" si="2"/>
        <v>14880006.00120024</v>
      </c>
      <c r="F16" s="37">
        <f t="shared" si="3"/>
        <v>7625</v>
      </c>
      <c r="G16" s="40">
        <f>($N$13*A16+$O$13)*1.02</f>
        <v>7619.1283292978205</v>
      </c>
      <c r="H16" s="40">
        <f t="shared" si="4"/>
        <v>15250000</v>
      </c>
      <c r="I16" s="37">
        <f t="shared" si="5"/>
        <v>369993.99879975989</v>
      </c>
      <c r="J16" s="39">
        <f t="shared" si="6"/>
        <v>2.4261901560639992E-2</v>
      </c>
      <c r="K16" s="5"/>
      <c r="L16" s="5"/>
    </row>
    <row r="17" spans="1:12" ht="17.5" thickBot="1" x14ac:dyDescent="0.55000000000000004">
      <c r="A17" s="15">
        <f>A16+200</f>
        <v>2200</v>
      </c>
      <c r="B17" s="40">
        <f>A17*'cost suply'!$F$6+'cost suply'!$F$5</f>
        <v>1439.0028005601121</v>
      </c>
      <c r="C17" s="17">
        <f t="shared" si="0"/>
        <v>7439.0028005601125</v>
      </c>
      <c r="D17" s="11">
        <f t="shared" si="1"/>
        <v>1</v>
      </c>
      <c r="E17" s="37">
        <f t="shared" si="2"/>
        <v>16365806.161232248</v>
      </c>
      <c r="F17" s="37">
        <f t="shared" si="3"/>
        <v>7550</v>
      </c>
      <c r="G17" s="40">
        <f>($N$13*A17+$O$13)*1.02</f>
        <v>7559.8547215496374</v>
      </c>
      <c r="H17" s="40">
        <f t="shared" si="4"/>
        <v>16610000</v>
      </c>
      <c r="I17" s="37">
        <f t="shared" si="5"/>
        <v>244193.83876775205</v>
      </c>
      <c r="J17" s="39">
        <f t="shared" si="6"/>
        <v>1.4701615819852623E-2</v>
      </c>
      <c r="K17" s="5"/>
      <c r="L17" s="5"/>
    </row>
    <row r="18" spans="1:12" ht="17.5" thickBot="1" x14ac:dyDescent="0.55000000000000004">
      <c r="A18" s="15">
        <f t="shared" si="7"/>
        <v>2700</v>
      </c>
      <c r="B18" s="40">
        <f>A18*'cost suply'!$F$6+'cost suply'!$F$5</f>
        <v>1436.5023004600921</v>
      </c>
      <c r="C18" s="17">
        <f t="shared" si="0"/>
        <v>7436.5023004600916</v>
      </c>
      <c r="D18" s="11">
        <f>ROUNDUP(IF(A18&gt;2000,(A18-2000)/1800,0),0)</f>
        <v>1</v>
      </c>
      <c r="E18" s="37">
        <f t="shared" si="2"/>
        <v>20078556.211242247</v>
      </c>
      <c r="F18" s="37">
        <f t="shared" si="3"/>
        <v>7400</v>
      </c>
      <c r="G18" s="40">
        <f>($N$13*A18+$O$13)*1.02</f>
        <v>7411.6707021791763</v>
      </c>
      <c r="H18" s="40">
        <f t="shared" si="4"/>
        <v>19980000</v>
      </c>
      <c r="I18" s="37">
        <f t="shared" si="5"/>
        <v>-98556.211242247373</v>
      </c>
      <c r="J18" s="39">
        <f t="shared" si="6"/>
        <v>-4.9327433054177864E-3</v>
      </c>
      <c r="K18" s="5"/>
      <c r="L18" s="5"/>
    </row>
    <row r="19" spans="1:12" ht="17.5" thickBot="1" x14ac:dyDescent="0.55000000000000004">
      <c r="A19" s="15">
        <f t="shared" si="7"/>
        <v>3200</v>
      </c>
      <c r="B19" s="40">
        <f>A19*'cost suply'!$F$6+'cost suply'!$F$5</f>
        <v>1434.0018003600721</v>
      </c>
      <c r="C19" s="17">
        <f t="shared" si="0"/>
        <v>7434.0018003600726</v>
      </c>
      <c r="D19" s="11">
        <f t="shared" si="1"/>
        <v>1</v>
      </c>
      <c r="E19" s="37">
        <f t="shared" si="2"/>
        <v>23788805.761152234</v>
      </c>
      <c r="F19" s="37">
        <f t="shared" si="3"/>
        <v>7275</v>
      </c>
      <c r="G19" s="40">
        <f>($N$13*A19+$O$13)*1.02</f>
        <v>7263.486682808717</v>
      </c>
      <c r="H19" s="40">
        <f t="shared" si="4"/>
        <v>23280000</v>
      </c>
      <c r="I19" s="37">
        <f t="shared" si="5"/>
        <v>-508805.76115223393</v>
      </c>
      <c r="J19" s="39">
        <f t="shared" si="6"/>
        <v>-2.185591757526778E-2</v>
      </c>
      <c r="K19" s="5"/>
      <c r="L19" s="5"/>
    </row>
    <row r="20" spans="1:12" ht="17.5" thickBot="1" x14ac:dyDescent="0.55000000000000004">
      <c r="A20" s="15">
        <f t="shared" si="7"/>
        <v>3700</v>
      </c>
      <c r="B20" s="40">
        <f>A20*'cost suply'!$F$6+'cost suply'!$F$5</f>
        <v>1431.5013002600519</v>
      </c>
      <c r="C20" s="17">
        <f t="shared" si="0"/>
        <v>7431.5013002600517</v>
      </c>
      <c r="D20" s="11">
        <f t="shared" si="1"/>
        <v>1</v>
      </c>
      <c r="E20" s="37">
        <f t="shared" si="2"/>
        <v>27496554.810962193</v>
      </c>
      <c r="F20" s="37">
        <f t="shared" si="3"/>
        <v>7125</v>
      </c>
      <c r="G20" s="40">
        <f>($N$13*A20+$O$13)*1.02</f>
        <v>7115.3026634382568</v>
      </c>
      <c r="H20" s="40">
        <f t="shared" si="4"/>
        <v>26362500</v>
      </c>
      <c r="I20" s="37">
        <f t="shared" si="5"/>
        <v>-1134054.8109621927</v>
      </c>
      <c r="J20" s="39">
        <f t="shared" si="6"/>
        <v>-4.301772635228801E-2</v>
      </c>
      <c r="K20" s="5"/>
      <c r="L20" s="5"/>
    </row>
    <row r="21" spans="1:12" ht="17.5" thickBot="1" x14ac:dyDescent="0.55000000000000004">
      <c r="A21" s="15">
        <f t="shared" si="7"/>
        <v>4200</v>
      </c>
      <c r="B21" s="40">
        <f>A21*'cost suply'!$F$6+'cost suply'!$F$5</f>
        <v>1429.000800160032</v>
      </c>
      <c r="C21" s="17">
        <f t="shared" si="0"/>
        <v>7429.0008001600318</v>
      </c>
      <c r="D21" s="11">
        <f t="shared" si="1"/>
        <v>2</v>
      </c>
      <c r="E21" s="37">
        <f t="shared" si="2"/>
        <v>31201803.360672135</v>
      </c>
      <c r="F21" s="37">
        <f t="shared" si="3"/>
        <v>6975</v>
      </c>
      <c r="G21" s="40">
        <f>($N$13*A21+$O$13)*1.02</f>
        <v>6967.1186440677957</v>
      </c>
      <c r="H21" s="40">
        <f t="shared" si="4"/>
        <v>29295000</v>
      </c>
      <c r="I21" s="37">
        <f t="shared" si="5"/>
        <v>-1906803.3606721349</v>
      </c>
      <c r="J21" s="39">
        <f t="shared" si="6"/>
        <v>-6.5089720453051197E-2</v>
      </c>
      <c r="K21" s="5"/>
      <c r="L21" s="5"/>
    </row>
    <row r="22" spans="1:12" ht="17.5" thickBot="1" x14ac:dyDescent="0.55000000000000004">
      <c r="A22" s="15">
        <f t="shared" si="7"/>
        <v>4700</v>
      </c>
      <c r="B22" s="40">
        <f>A22*'cost suply'!$F$6+'cost suply'!$F$5</f>
        <v>1426.500300060012</v>
      </c>
      <c r="C22" s="17">
        <f t="shared" si="0"/>
        <v>7426.5003000600118</v>
      </c>
      <c r="D22" s="11">
        <f t="shared" si="1"/>
        <v>2</v>
      </c>
      <c r="E22" s="37">
        <f t="shared" si="2"/>
        <v>34904551.410282053</v>
      </c>
      <c r="F22" s="37">
        <f t="shared" si="3"/>
        <v>6825</v>
      </c>
      <c r="G22" s="40">
        <f>($N$13*A22+$O$13)*1.02</f>
        <v>6818.9346246973364</v>
      </c>
      <c r="H22" s="40">
        <f t="shared" si="4"/>
        <v>32077500</v>
      </c>
      <c r="I22" s="37">
        <f t="shared" si="5"/>
        <v>-2827051.4102820531</v>
      </c>
      <c r="J22" s="39">
        <f t="shared" si="6"/>
        <v>-8.8131912096704956E-2</v>
      </c>
      <c r="K22" s="5"/>
      <c r="L22" s="5"/>
    </row>
    <row r="23" spans="1:12" ht="17.5" thickBot="1" x14ac:dyDescent="0.55000000000000004">
      <c r="A23" s="15">
        <f t="shared" si="7"/>
        <v>5200</v>
      </c>
      <c r="B23" s="40">
        <f>A23*'cost suply'!$G$6+'cost suply'!$G$5</f>
        <v>1422.6666666666665</v>
      </c>
      <c r="C23" s="17">
        <f t="shared" si="0"/>
        <v>7422.6666666666661</v>
      </c>
      <c r="D23" s="11">
        <f>ROUNDUP(IF(A23&gt;2000,(A23-2000)/1800,0),0)</f>
        <v>2</v>
      </c>
      <c r="E23" s="37">
        <f t="shared" si="2"/>
        <v>38597866.666666664</v>
      </c>
      <c r="F23" s="37">
        <f t="shared" si="3"/>
        <v>6675</v>
      </c>
      <c r="G23" s="40">
        <f>($N$13*A23+$O$13)*1.02</f>
        <v>6670.7506053268762</v>
      </c>
      <c r="H23" s="40">
        <f t="shared" si="4"/>
        <v>34710000</v>
      </c>
      <c r="I23" s="37">
        <f t="shared" si="5"/>
        <v>-3887866.6666666642</v>
      </c>
      <c r="J23" s="39">
        <f t="shared" si="6"/>
        <v>-0.11200998751560542</v>
      </c>
      <c r="K23" s="5"/>
      <c r="L23" s="5"/>
    </row>
    <row r="24" spans="1:12" ht="17.5" thickBot="1" x14ac:dyDescent="0.55000000000000004">
      <c r="A24" s="15">
        <f t="shared" si="7"/>
        <v>5700</v>
      </c>
      <c r="B24" s="40">
        <f>A24*'cost suply'!$G$6+'cost suply'!$G$5</f>
        <v>1416.8333333333333</v>
      </c>
      <c r="C24" s="17">
        <f t="shared" si="0"/>
        <v>7416.833333333333</v>
      </c>
      <c r="D24" s="11">
        <f t="shared" si="1"/>
        <v>3</v>
      </c>
      <c r="E24" s="37">
        <f t="shared" si="2"/>
        <v>42275950</v>
      </c>
      <c r="F24" s="37">
        <f t="shared" si="3"/>
        <v>6525</v>
      </c>
      <c r="G24" s="40">
        <f>($N$13*A24+$O$13)*1.02</f>
        <v>6522.566585956416</v>
      </c>
      <c r="H24" s="40">
        <f t="shared" si="4"/>
        <v>37192500</v>
      </c>
      <c r="I24" s="37">
        <f t="shared" si="5"/>
        <v>-5083450</v>
      </c>
      <c r="J24" s="39">
        <f t="shared" si="6"/>
        <v>-0.13667943805874841</v>
      </c>
      <c r="K24" s="5"/>
      <c r="L24" s="5"/>
    </row>
    <row r="25" spans="1:12" ht="17.5" thickBot="1" x14ac:dyDescent="0.55000000000000004">
      <c r="A25" s="15">
        <f t="shared" si="7"/>
        <v>6200</v>
      </c>
      <c r="B25" s="40">
        <f>A25*'cost suply'!$G$6+'cost suply'!$G$5</f>
        <v>1411</v>
      </c>
      <c r="C25" s="17">
        <f t="shared" si="0"/>
        <v>7411</v>
      </c>
      <c r="D25" s="11">
        <f t="shared" si="1"/>
        <v>3</v>
      </c>
      <c r="E25" s="37">
        <f t="shared" si="2"/>
        <v>45948200</v>
      </c>
      <c r="F25" s="37">
        <f t="shared" si="3"/>
        <v>6375</v>
      </c>
      <c r="G25" s="40">
        <f>($N$13*A25+$O$13)*1.02</f>
        <v>6374.3825665859558</v>
      </c>
      <c r="H25" s="40">
        <f t="shared" si="4"/>
        <v>39525000</v>
      </c>
      <c r="I25" s="37">
        <f t="shared" si="5"/>
        <v>-6423200</v>
      </c>
      <c r="J25" s="39">
        <f t="shared" si="6"/>
        <v>-0.16250980392156864</v>
      </c>
      <c r="K25" s="5"/>
      <c r="L25" s="5"/>
    </row>
    <row r="26" spans="1:12" ht="17.5" thickBot="1" x14ac:dyDescent="0.55000000000000004">
      <c r="A26" s="15">
        <f>500+A25</f>
        <v>6700</v>
      </c>
      <c r="B26" s="40">
        <f>A26*'cost suply'!$G$6+'cost suply'!$G$5</f>
        <v>1405.1666666666665</v>
      </c>
      <c r="C26" s="17">
        <f t="shared" si="0"/>
        <v>7405.1666666666661</v>
      </c>
      <c r="D26" s="11">
        <f t="shared" si="1"/>
        <v>3</v>
      </c>
      <c r="E26" s="37">
        <f t="shared" si="2"/>
        <v>49614616.666666664</v>
      </c>
      <c r="F26" s="37">
        <f t="shared" si="3"/>
        <v>6225</v>
      </c>
      <c r="G26" s="40">
        <f>($N$13*A26+$O$13)*1.02</f>
        <v>6226.1985472154965</v>
      </c>
      <c r="H26" s="40">
        <f t="shared" si="4"/>
        <v>41707500</v>
      </c>
      <c r="I26" s="37">
        <f t="shared" si="5"/>
        <v>-7907116.6666666642</v>
      </c>
      <c r="J26" s="39">
        <f t="shared" si="6"/>
        <v>-0.18958500669344036</v>
      </c>
      <c r="K26" s="5"/>
      <c r="L26" s="5"/>
    </row>
    <row r="27" spans="1:12" ht="17.5" thickBot="1" x14ac:dyDescent="0.55000000000000004">
      <c r="A27" s="15">
        <f t="shared" si="7"/>
        <v>7200</v>
      </c>
      <c r="B27" s="40">
        <f>A27*'cost suply'!$G$6+'cost suply'!$G$5</f>
        <v>1399.3333333333333</v>
      </c>
      <c r="C27" s="17">
        <f t="shared" si="0"/>
        <v>7399.333333333333</v>
      </c>
      <c r="D27" s="11">
        <f t="shared" si="1"/>
        <v>3</v>
      </c>
      <c r="E27" s="37">
        <f t="shared" si="2"/>
        <v>53275200</v>
      </c>
      <c r="F27" s="37">
        <f t="shared" si="3"/>
        <v>6075</v>
      </c>
      <c r="G27" s="40">
        <f>($N$13*A27+$O$13)*1.02</f>
        <v>6078.0145278450364</v>
      </c>
      <c r="H27" s="40">
        <f t="shared" si="4"/>
        <v>43740000</v>
      </c>
      <c r="I27" s="37">
        <f t="shared" si="5"/>
        <v>-9535200</v>
      </c>
      <c r="J27" s="39">
        <f t="shared" si="6"/>
        <v>-0.21799725651577503</v>
      </c>
      <c r="K27" s="5"/>
      <c r="L27" s="5"/>
    </row>
    <row r="28" spans="1:12" ht="17.5" thickBot="1" x14ac:dyDescent="0.55000000000000004">
      <c r="A28" s="15">
        <f t="shared" si="7"/>
        <v>7700</v>
      </c>
      <c r="B28" s="40">
        <f>A28*'cost suply'!$G$6+'cost suply'!$G$5</f>
        <v>1393.5</v>
      </c>
      <c r="C28" s="17">
        <f t="shared" si="0"/>
        <v>7393.5</v>
      </c>
      <c r="D28" s="11">
        <f>ROUNDUP(IF(A28&gt;2000,(A28-2000)/1800,0),0)</f>
        <v>4</v>
      </c>
      <c r="E28" s="37">
        <f t="shared" si="2"/>
        <v>56929950</v>
      </c>
      <c r="F28" s="37">
        <f t="shared" si="3"/>
        <v>5925</v>
      </c>
      <c r="G28" s="40">
        <f>($N$13*A28+$O$13)*1.02</f>
        <v>5929.8305084745762</v>
      </c>
      <c r="H28" s="40">
        <f t="shared" si="4"/>
        <v>45622500</v>
      </c>
      <c r="I28" s="37">
        <f t="shared" si="5"/>
        <v>-11307450</v>
      </c>
      <c r="J28" s="39">
        <f t="shared" si="6"/>
        <v>-0.2478481012658228</v>
      </c>
      <c r="K28" s="5"/>
      <c r="L28" s="5"/>
    </row>
    <row r="29" spans="1:12" ht="17.5" thickBot="1" x14ac:dyDescent="0.55000000000000004">
      <c r="A29" s="15">
        <f t="shared" si="7"/>
        <v>8200</v>
      </c>
      <c r="B29" s="40">
        <f>A29*'cost suply'!$G$6+'cost suply'!$G$5</f>
        <v>1387.6666666666665</v>
      </c>
      <c r="C29" s="17">
        <f t="shared" si="0"/>
        <v>7387.6666666666661</v>
      </c>
      <c r="D29" s="11">
        <f t="shared" si="1"/>
        <v>4</v>
      </c>
      <c r="E29" s="37">
        <f t="shared" si="2"/>
        <v>60578866.666666664</v>
      </c>
      <c r="F29" s="37">
        <f t="shared" si="3"/>
        <v>5775</v>
      </c>
      <c r="G29" s="40">
        <f>($N$13*A29+$O$13)*1.02</f>
        <v>5781.646489104116</v>
      </c>
      <c r="H29" s="40">
        <f t="shared" si="4"/>
        <v>47355000</v>
      </c>
      <c r="I29" s="37">
        <f t="shared" si="5"/>
        <v>-13223866.666666664</v>
      </c>
      <c r="J29" s="39">
        <f t="shared" si="6"/>
        <v>-0.27924963924963919</v>
      </c>
      <c r="K29" s="5"/>
      <c r="L29" s="5"/>
    </row>
    <row r="30" spans="1:12" ht="17.5" thickBot="1" x14ac:dyDescent="0.55000000000000004">
      <c r="A30" s="15">
        <f t="shared" si="7"/>
        <v>8700</v>
      </c>
      <c r="B30" s="40">
        <f>A30*'cost suply'!$G$6+'cost suply'!$G$5</f>
        <v>1381.8333333333333</v>
      </c>
      <c r="C30" s="17">
        <f t="shared" si="0"/>
        <v>7381.833333333333</v>
      </c>
      <c r="D30" s="11">
        <f t="shared" si="1"/>
        <v>4</v>
      </c>
      <c r="E30" s="37">
        <f t="shared" si="2"/>
        <v>64221950</v>
      </c>
      <c r="F30" s="37">
        <f t="shared" si="3"/>
        <v>5625</v>
      </c>
      <c r="G30" s="40">
        <f>($N$13*A30+$O$13)*1.02</f>
        <v>5633.4624697336558</v>
      </c>
      <c r="H30" s="40">
        <f t="shared" si="4"/>
        <v>48937500</v>
      </c>
      <c r="I30" s="37">
        <f t="shared" si="5"/>
        <v>-15284450</v>
      </c>
      <c r="J30" s="39">
        <f t="shared" si="6"/>
        <v>-0.31232592592592595</v>
      </c>
      <c r="K30" s="5"/>
      <c r="L30" s="5"/>
    </row>
    <row r="31" spans="1:12" ht="17.5" thickBot="1" x14ac:dyDescent="0.55000000000000004">
      <c r="A31" s="15">
        <f t="shared" si="7"/>
        <v>9200</v>
      </c>
      <c r="B31" s="40">
        <f>A31*'cost suply'!$G$6+'cost suply'!$G$5</f>
        <v>1376</v>
      </c>
      <c r="C31" s="17">
        <f t="shared" si="0"/>
        <v>7376</v>
      </c>
      <c r="D31" s="11">
        <f t="shared" si="1"/>
        <v>4</v>
      </c>
      <c r="E31" s="37">
        <f t="shared" si="2"/>
        <v>67859200</v>
      </c>
      <c r="F31" s="37">
        <f t="shared" si="3"/>
        <v>5475</v>
      </c>
      <c r="G31" s="40">
        <f>($N$13*A31+$O$13)*1.02</f>
        <v>5485.2784503631956</v>
      </c>
      <c r="H31" s="40">
        <f t="shared" si="4"/>
        <v>50370000</v>
      </c>
      <c r="I31" s="37">
        <f t="shared" si="5"/>
        <v>-17489200</v>
      </c>
      <c r="J31" s="39">
        <f t="shared" si="6"/>
        <v>-0.34721461187214614</v>
      </c>
      <c r="K31" s="5"/>
      <c r="L31" s="5"/>
    </row>
    <row r="32" spans="1:12" ht="17.5" thickBot="1" x14ac:dyDescent="0.55000000000000004">
      <c r="A32" s="15">
        <f t="shared" si="7"/>
        <v>9700</v>
      </c>
      <c r="B32" s="40">
        <f>A32*'cost suply'!$G$6+'cost suply'!$G$5</f>
        <v>1370.1666666666665</v>
      </c>
      <c r="C32" s="17">
        <f t="shared" si="0"/>
        <v>7370.1666666666661</v>
      </c>
      <c r="D32" s="11">
        <f t="shared" si="1"/>
        <v>5</v>
      </c>
      <c r="E32" s="37">
        <f t="shared" si="2"/>
        <v>71490616.666666657</v>
      </c>
      <c r="F32" s="37">
        <f t="shared" si="3"/>
        <v>5325</v>
      </c>
      <c r="G32" s="40">
        <f>($N$13*A32+$O$13)*1.02</f>
        <v>5337.0944309927363</v>
      </c>
      <c r="H32" s="40">
        <f t="shared" si="4"/>
        <v>51652500</v>
      </c>
      <c r="I32" s="37">
        <f t="shared" si="5"/>
        <v>-19838116.666666657</v>
      </c>
      <c r="J32" s="39">
        <f t="shared" si="6"/>
        <v>-0.38406885758998416</v>
      </c>
      <c r="K32" s="5"/>
      <c r="L32" s="5"/>
    </row>
    <row r="33" spans="1:10" ht="17.5" thickBot="1" x14ac:dyDescent="0.55000000000000004">
      <c r="A33" s="15"/>
      <c r="B33" s="5"/>
      <c r="C33" s="5"/>
      <c r="D33" s="5"/>
      <c r="E33" s="5"/>
      <c r="F33" s="5"/>
      <c r="G33" s="5"/>
      <c r="H33" s="5"/>
      <c r="I33" s="5"/>
      <c r="J33" s="5"/>
    </row>
    <row r="34" spans="1:10" ht="17.5" thickBot="1" x14ac:dyDescent="0.55000000000000004">
      <c r="A34" s="15"/>
    </row>
    <row r="35" spans="1:10" ht="17.5" thickBot="1" x14ac:dyDescent="0.55000000000000004">
      <c r="A35" s="15"/>
    </row>
    <row r="36" spans="1:10" ht="17.5" thickBot="1" x14ac:dyDescent="0.55000000000000004">
      <c r="A36" s="15"/>
    </row>
    <row r="37" spans="1:10" ht="17.5" thickBot="1" x14ac:dyDescent="0.55000000000000004">
      <c r="A37" s="15"/>
    </row>
    <row r="38" spans="1:10" ht="17.5" thickBot="1" x14ac:dyDescent="0.55000000000000004">
      <c r="A3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submission</vt:lpstr>
      <vt:lpstr>cost suply</vt:lpstr>
      <vt:lpstr>price demand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nikam</dc:creator>
  <cp:lastModifiedBy>nikam</cp:lastModifiedBy>
  <dcterms:created xsi:type="dcterms:W3CDTF">2023-08-05T09:16:40Z</dcterms:created>
  <dcterms:modified xsi:type="dcterms:W3CDTF">2023-08-05T14:20:48Z</dcterms:modified>
</cp:coreProperties>
</file>