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 and Rev" sheetId="1" r:id="rId4"/>
    <sheet state="visible" name="DEEPDIVE" sheetId="2" r:id="rId5"/>
  </sheets>
  <definedNames/>
  <calcPr/>
</workbook>
</file>

<file path=xl/sharedStrings.xml><?xml version="1.0" encoding="utf-8"?>
<sst xmlns="http://schemas.openxmlformats.org/spreadsheetml/2006/main" count="269" uniqueCount="113">
  <si>
    <t>HQ</t>
  </si>
  <si>
    <t>Cost</t>
  </si>
  <si>
    <t>Production Facility (Texas)</t>
  </si>
  <si>
    <t>Cost (3mon)</t>
  </si>
  <si>
    <t>Warehouse for Storage (Texas)</t>
  </si>
  <si>
    <t>Cost/yr</t>
  </si>
  <si>
    <t>Office rent (1611sq ft)</t>
  </si>
  <si>
    <t>/yr</t>
  </si>
  <si>
    <t>Facility lease</t>
  </si>
  <si>
    <t>Lease</t>
  </si>
  <si>
    <t>Furnishing (one time cost)</t>
  </si>
  <si>
    <t>Bought parts (engine, CF, raw material)</t>
  </si>
  <si>
    <t>Security + Maintenance</t>
  </si>
  <si>
    <t xml:space="preserve">Employee salary (5 workers) </t>
  </si>
  <si>
    <t>Machinery cost (rent)</t>
  </si>
  <si>
    <t>Total</t>
  </si>
  <si>
    <t>Maintenance &amp; security</t>
  </si>
  <si>
    <t>Electricity, Water &amp; Gas supply</t>
  </si>
  <si>
    <t xml:space="preserve"> ($7/hr, 10hr/day)</t>
  </si>
  <si>
    <t>R&amp;D (12 workers) + Facilities</t>
  </si>
  <si>
    <t>Skilled labour (40 workers)</t>
  </si>
  <si>
    <t>Marketing</t>
  </si>
  <si>
    <t>New Costs</t>
  </si>
  <si>
    <t xml:space="preserve">Total </t>
  </si>
  <si>
    <t>Quality Control</t>
  </si>
  <si>
    <t>Website Development with Maintenence</t>
  </si>
  <si>
    <t>Logistics</t>
  </si>
  <si>
    <t>Software Engineers (2)</t>
  </si>
  <si>
    <t>Office supplies</t>
  </si>
  <si>
    <t>VR contract</t>
  </si>
  <si>
    <t>Testing Facility</t>
  </si>
  <si>
    <t>VR exp R&amp;D</t>
  </si>
  <si>
    <t>Area = 18,000 sq ft</t>
  </si>
  <si>
    <t>Event Facility (Track)</t>
  </si>
  <si>
    <t>Spring Mountain Motorsport Resort Rent</t>
  </si>
  <si>
    <t>Box to Box productions</t>
  </si>
  <si>
    <t>Web series contract</t>
  </si>
  <si>
    <t>Modular Tracks and Track set up</t>
  </si>
  <si>
    <t>COVID</t>
  </si>
  <si>
    <t>OLD</t>
  </si>
  <si>
    <t>Marshals Organisation contract</t>
  </si>
  <si>
    <t>15 marshals/yr</t>
  </si>
  <si>
    <t>Production Facility</t>
  </si>
  <si>
    <t>Fuel</t>
  </si>
  <si>
    <t xml:space="preserve">Prize Pool </t>
  </si>
  <si>
    <t>(5,3,1)</t>
  </si>
  <si>
    <t>Warehouse</t>
  </si>
  <si>
    <t>Event Facility</t>
  </si>
  <si>
    <t>TV Show Production</t>
  </si>
  <si>
    <t>Prize Pool</t>
  </si>
  <si>
    <t>Total Cost</t>
  </si>
  <si>
    <t>REVENUE</t>
  </si>
  <si>
    <t xml:space="preserve">TV show revenue </t>
  </si>
  <si>
    <t xml:space="preserve">Audience Betting </t>
  </si>
  <si>
    <t>Audience Bidding</t>
  </si>
  <si>
    <t>Car sales</t>
  </si>
  <si>
    <t>Ticket</t>
  </si>
  <si>
    <t>Headquaters</t>
  </si>
  <si>
    <t>Cost per quarter</t>
  </si>
  <si>
    <t>Area = 7500 sq ft</t>
  </si>
  <si>
    <t>Gold Tier accomodation</t>
  </si>
  <si>
    <t>for 500 people</t>
  </si>
  <si>
    <t>Temporary Grandstands</t>
  </si>
  <si>
    <t>for 18000 people</t>
  </si>
  <si>
    <t>Expenses</t>
  </si>
  <si>
    <t>Year 1 (COVID)</t>
  </si>
  <si>
    <t xml:space="preserve"> </t>
  </si>
  <si>
    <t xml:space="preserve">Production </t>
  </si>
  <si>
    <t>Event</t>
  </si>
  <si>
    <t>TV series</t>
  </si>
  <si>
    <t>Year 2</t>
  </si>
  <si>
    <t>Year 3</t>
  </si>
  <si>
    <t>Year 4</t>
  </si>
  <si>
    <t>Income</t>
  </si>
  <si>
    <t>Car Sales</t>
  </si>
  <si>
    <t>TV show Revenue</t>
  </si>
  <si>
    <t>per quarter</t>
  </si>
  <si>
    <t>Betting Revenue</t>
  </si>
  <si>
    <t>Year 1(Covid)</t>
  </si>
  <si>
    <t>Year 1</t>
  </si>
  <si>
    <t>Online Ticket Sales</t>
  </si>
  <si>
    <t>Gold Betters</t>
  </si>
  <si>
    <t>Avg Betting Amt</t>
  </si>
  <si>
    <t>Silver Betters</t>
  </si>
  <si>
    <t>Total Betting Amt</t>
  </si>
  <si>
    <t>Revenue(Margin)</t>
  </si>
  <si>
    <t>Bids Won</t>
  </si>
  <si>
    <t>Avg Highest Bid</t>
  </si>
  <si>
    <t>Cut</t>
  </si>
  <si>
    <t>Standard Audience</t>
  </si>
  <si>
    <t>Premium Audience</t>
  </si>
  <si>
    <t>Total Revenue</t>
  </si>
  <si>
    <t>Revenue from Ticket Sales</t>
  </si>
  <si>
    <t>Bronze</t>
  </si>
  <si>
    <t>Silver</t>
  </si>
  <si>
    <t>Gold</t>
  </si>
  <si>
    <t>Ticket Sales</t>
  </si>
  <si>
    <t>Cumulative</t>
  </si>
  <si>
    <t>Revenue</t>
  </si>
  <si>
    <t>Expense</t>
  </si>
  <si>
    <t>Quarter Ended</t>
  </si>
  <si>
    <t>Total Expense</t>
  </si>
  <si>
    <t>Total Expense + Tax</t>
  </si>
  <si>
    <t>Net Profit/Loss</t>
  </si>
  <si>
    <t>Return of Investment</t>
  </si>
  <si>
    <t>Year</t>
  </si>
  <si>
    <t>ROI after 1 year</t>
  </si>
  <si>
    <t>ROI after 2 years</t>
  </si>
  <si>
    <t>ROI after 3 years</t>
  </si>
  <si>
    <t>ROI after 4 years</t>
  </si>
  <si>
    <t>ROI after 5 years</t>
  </si>
  <si>
    <t>ROI after 6 years</t>
  </si>
  <si>
    <t>net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</si>
</sst>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.00"/>
  </numFmts>
  <fonts count="5">
    <font>
      <sz val="10.0"/>
      <color rgb="FF000000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4" fontId="3" numFmtId="164" xfId="0" applyAlignment="1" applyFont="1" applyNumberFormat="1">
      <alignment horizontal="right" vertical="bottom"/>
    </xf>
    <xf borderId="0" fillId="5" fontId="1" numFmtId="0" xfId="0" applyAlignment="1" applyFill="1" applyFont="1">
      <alignment vertical="bottom"/>
    </xf>
    <xf borderId="0" fillId="5" fontId="1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3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2" fontId="1" numFmtId="164" xfId="0" applyAlignment="1" applyFont="1" applyNumberFormat="1">
      <alignment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6" fontId="2" numFmtId="164" xfId="0" applyAlignment="1" applyFont="1" applyNumberFormat="1">
      <alignment vertical="bottom"/>
    </xf>
    <xf borderId="0" fillId="6" fontId="4" numFmtId="164" xfId="0" applyAlignment="1" applyFont="1" applyNumberFormat="1">
      <alignment readingOrder="0" vertical="bottom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left" readingOrder="0" vertical="bottom"/>
    </xf>
    <xf borderId="1" fillId="0" fontId="2" numFmtId="164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readingOrder="0" vertical="bottom"/>
    </xf>
    <xf borderId="1" fillId="0" fontId="2" numFmtId="0" xfId="0" applyAlignment="1" applyBorder="1" applyFont="1">
      <alignment horizontal="left" readingOrder="0"/>
    </xf>
    <xf borderId="1" fillId="0" fontId="2" numFmtId="164" xfId="0" applyBorder="1" applyFont="1" applyNumberFormat="1"/>
    <xf borderId="1" fillId="0" fontId="2" numFmtId="164" xfId="0" applyAlignment="1" applyBorder="1" applyFont="1" applyNumberFormat="1">
      <alignment readingOrder="0"/>
    </xf>
    <xf borderId="0" fillId="3" fontId="3" numFmtId="164" xfId="0" applyAlignment="1" applyFont="1" applyNumberFormat="1">
      <alignment horizontal="right" readingOrder="0" vertical="bottom"/>
    </xf>
    <xf borderId="1" fillId="0" fontId="3" numFmtId="164" xfId="0" applyAlignment="1" applyBorder="1" applyFont="1" applyNumberFormat="1">
      <alignment horizontal="left" readingOrder="0" vertical="bottom"/>
    </xf>
    <xf borderId="1" fillId="0" fontId="3" numFmtId="0" xfId="0" applyAlignment="1" applyBorder="1" applyFont="1">
      <alignment horizontal="left" readingOrder="0" vertical="bottom"/>
    </xf>
    <xf borderId="0" fillId="0" fontId="3" numFmtId="164" xfId="0" applyAlignment="1" applyFont="1" applyNumberFormat="1">
      <alignment vertical="bottom"/>
    </xf>
    <xf borderId="0" fillId="5" fontId="2" numFmtId="0" xfId="0" applyAlignment="1" applyFont="1">
      <alignment readingOrder="0" vertical="bottom"/>
    </xf>
    <xf borderId="0" fillId="5" fontId="2" numFmtId="164" xfId="0" applyAlignment="1" applyFont="1" applyNumberFormat="1">
      <alignment readingOrder="0" vertical="bottom"/>
    </xf>
    <xf borderId="0" fillId="5" fontId="2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1" fillId="2" fontId="3" numFmtId="0" xfId="0" applyAlignment="1" applyBorder="1" applyFont="1">
      <alignment horizontal="left" readingOrder="0" vertical="bottom"/>
    </xf>
    <xf borderId="1" fillId="3" fontId="3" numFmtId="164" xfId="0" applyAlignment="1" applyBorder="1" applyFont="1" applyNumberFormat="1">
      <alignment readingOrder="0" vertical="bottom"/>
    </xf>
    <xf borderId="1" fillId="2" fontId="3" numFmtId="164" xfId="0" applyAlignment="1" applyBorder="1" applyFont="1" applyNumberFormat="1">
      <alignment horizontal="left" readingOrder="0" vertical="bottom"/>
    </xf>
    <xf borderId="1" fillId="3" fontId="3" numFmtId="164" xfId="0" applyAlignment="1" applyBorder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1" fillId="2" fontId="2" numFmtId="0" xfId="0" applyAlignment="1" applyBorder="1" applyFont="1">
      <alignment horizontal="left" readingOrder="0"/>
    </xf>
    <xf borderId="1" fillId="3" fontId="2" numFmtId="164" xfId="0" applyBorder="1" applyFont="1" applyNumberFormat="1"/>
    <xf borderId="1" fillId="2" fontId="2" numFmtId="0" xfId="0" applyAlignment="1" applyBorder="1" applyFont="1">
      <alignment readingOrder="0" vertical="bottom"/>
    </xf>
    <xf borderId="1" fillId="5" fontId="3" numFmtId="164" xfId="0" applyAlignment="1" applyBorder="1" applyFont="1" applyNumberFormat="1">
      <alignment horizontal="right" vertical="bottom"/>
    </xf>
    <xf borderId="0" fillId="7" fontId="3" numFmtId="0" xfId="0" applyAlignment="1" applyFill="1" applyFont="1">
      <alignment vertical="bottom"/>
    </xf>
    <xf borderId="0" fillId="7" fontId="3" numFmtId="164" xfId="0" applyAlignment="1" applyFont="1" applyNumberFormat="1">
      <alignment horizontal="right" vertical="bottom"/>
    </xf>
    <xf borderId="0" fillId="6" fontId="3" numFmtId="0" xfId="0" applyAlignment="1" applyFont="1">
      <alignment vertical="bottom"/>
    </xf>
    <xf borderId="0" fillId="6" fontId="3" numFmtId="16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3" numFmtId="164" xfId="0" applyAlignment="1" applyFont="1" applyNumberFormat="1">
      <alignment vertical="bottom"/>
    </xf>
    <xf borderId="0" fillId="2" fontId="2" numFmtId="0" xfId="0" applyAlignment="1" applyFont="1">
      <alignment readingOrder="0"/>
    </xf>
    <xf borderId="0" fillId="4" fontId="2" numFmtId="164" xfId="0" applyFont="1" applyNumberFormat="1"/>
    <xf borderId="0" fillId="4" fontId="2" numFmtId="0" xfId="0" applyFont="1"/>
    <xf borderId="0" fillId="3" fontId="2" numFmtId="164" xfId="0" applyFont="1" applyNumberFormat="1"/>
    <xf borderId="0" fillId="0" fontId="3" numFmtId="0" xfId="0" applyAlignment="1" applyFont="1">
      <alignment shrinkToFit="0" vertical="bottom" wrapText="0"/>
    </xf>
    <xf borderId="0" fillId="5" fontId="4" numFmtId="164" xfId="0" applyFont="1" applyNumberFormat="1"/>
    <xf borderId="0" fillId="4" fontId="3" numFmtId="164" xfId="0" applyAlignment="1" applyFont="1" applyNumberFormat="1">
      <alignment horizontal="right" readingOrder="0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165" xfId="0" applyAlignment="1" applyFont="1" applyNumberFormat="1">
      <alignment horizontal="right" vertical="bottom"/>
    </xf>
    <xf borderId="0" fillId="3" fontId="4" numFmtId="165" xfId="0" applyAlignment="1" applyFont="1" applyNumberFormat="1">
      <alignment horizontal="right" readingOrder="0" vertical="bottom"/>
    </xf>
    <xf borderId="0" fillId="7" fontId="2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8" fontId="1" numFmtId="0" xfId="0" applyAlignment="1" applyBorder="1" applyFill="1" applyFont="1">
      <alignment shrinkToFit="0" vertical="bottom" wrapText="0"/>
    </xf>
    <xf borderId="0" fillId="8" fontId="1" numFmtId="165" xfId="0" applyAlignment="1" applyFont="1" applyNumberFormat="1">
      <alignment vertical="bottom"/>
    </xf>
    <xf borderId="0" fillId="8" fontId="1" numFmtId="0" xfId="0" applyAlignment="1" applyFont="1">
      <alignment vertical="bottom"/>
    </xf>
    <xf borderId="0" fillId="3" fontId="3" numFmtId="1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3" fontId="2" numFmtId="164" xfId="0" applyAlignment="1" applyFont="1" applyNumberFormat="1">
      <alignment horizontal="right" vertical="bottom"/>
    </xf>
    <xf borderId="0" fillId="3" fontId="3" numFmtId="1" xfId="0" applyAlignment="1" applyFont="1" applyNumberForma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9" fontId="3" numFmtId="165" xfId="0" applyAlignment="1" applyFill="1" applyFont="1" applyNumberFormat="1">
      <alignment horizontal="right" vertical="bottom"/>
    </xf>
    <xf borderId="0" fillId="9" fontId="3" numFmtId="164" xfId="0" applyAlignment="1" applyFont="1" applyNumberFormat="1">
      <alignment horizontal="right" vertical="bottom"/>
    </xf>
    <xf borderId="0" fillId="9" fontId="2" numFmtId="164" xfId="0" applyAlignment="1" applyFont="1" applyNumberFormat="1">
      <alignment horizontal="right" readingOrder="0"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8" fontId="1" numFmtId="0" xfId="0" applyAlignment="1" applyFont="1">
      <alignment readingOrder="0" vertical="bottom"/>
    </xf>
    <xf borderId="0" fillId="3" fontId="3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9" fontId="3" numFmtId="164" xfId="0" applyAlignment="1" applyFont="1" applyNumberFormat="1">
      <alignment horizontal="right" readingOrder="0" vertical="bottom"/>
    </xf>
    <xf borderId="0" fillId="8" fontId="3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2" numFmtId="164" xfId="0" applyAlignment="1" applyFont="1" applyNumberFormat="1">
      <alignment readingOrder="0"/>
    </xf>
    <xf borderId="0" fillId="2" fontId="2" numFmtId="164" xfId="0" applyAlignment="1" applyFont="1" applyNumberFormat="1">
      <alignment readingOrder="0"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3" fontId="2" numFmtId="0" xfId="0" applyFont="1"/>
    <xf borderId="0" fillId="3" fontId="2" numFmtId="164" xfId="0" applyAlignment="1" applyFont="1" applyNumberFormat="1">
      <alignment vertical="bottom"/>
    </xf>
    <xf borderId="0" fillId="3" fontId="2" numFmtId="10" xfId="0" applyAlignment="1" applyFont="1" applyNumberFormat="1">
      <alignment vertical="bottom"/>
    </xf>
    <xf borderId="0" fillId="3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Expenses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99999"/>
              </a:solidFill>
            </c:spPr>
          </c:dPt>
          <c:dPt>
            <c:idx val="1"/>
            <c:spPr>
              <a:solidFill>
                <a:srgbClr val="EF709C"/>
              </a:solidFill>
            </c:spPr>
          </c:dPt>
          <c:dPt>
            <c:idx val="2"/>
            <c:spPr>
              <a:solidFill>
                <a:srgbClr val="C91362"/>
              </a:solidFill>
            </c:spPr>
          </c:dPt>
          <c:dPt>
            <c:idx val="3"/>
            <c:spPr>
              <a:solidFill>
                <a:srgbClr val="FFFFFF"/>
              </a:solidFill>
            </c:spPr>
          </c:dPt>
          <c:dPt>
            <c:idx val="4"/>
            <c:spPr>
              <a:solidFill>
                <a:srgbClr val="E91E63"/>
              </a:solidFill>
            </c:spPr>
          </c:dPt>
          <c:dPt>
            <c:idx val="5"/>
            <c:spPr>
              <a:solidFill>
                <a:srgbClr val="03DAC6"/>
              </a:solidFill>
            </c:spPr>
          </c:dPt>
          <c:dPt>
            <c:idx val="6"/>
            <c:spPr>
              <a:solidFill>
                <a:srgbClr val="F3F3F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 and Rev'!$G$18:$G$24</c:f>
            </c:strRef>
          </c:cat>
          <c:val>
            <c:numRef>
              <c:f>'Exp and Rev'!$H$18:$H$24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7482048018671325"/>
          <c:y val="0.05093833780160858"/>
        </c:manualLayout>
      </c:layout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New Revenue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5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Pt>
            <c:idx val="3"/>
            <c:spPr>
              <a:solidFill>
                <a:schemeClr val="accent1"/>
              </a:solidFill>
            </c:spPr>
          </c:dPt>
          <c:dPt>
            <c:idx val="4"/>
            <c:spPr>
              <a:solidFill>
                <a:srgbClr val="FFFF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 and Rev'!$A$47:$A$51</c:f>
            </c:strRef>
          </c:cat>
          <c:val>
            <c:numRef>
              <c:f>'Exp and Rev'!$B$47:$B$51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7571419270833334"/>
          <c:y val="0.07277628032345014"/>
        </c:manualLayout>
      </c:layout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Projected Break-Even Point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DEEPDIVE!$F$102</c:f>
            </c:strRef>
          </c:tx>
          <c:marker>
            <c:symbol val="none"/>
          </c:marker>
          <c:cat>
            <c:strRef>
              <c:f>DEEPDIVE!$C$103:$C$131</c:f>
            </c:strRef>
          </c:cat>
          <c:val>
            <c:numRef>
              <c:f>DEEPDIVE!$F$103:$F$127</c:f>
            </c:numRef>
          </c:val>
          <c:smooth val="1"/>
        </c:ser>
        <c:ser>
          <c:idx val="1"/>
          <c:order val="1"/>
          <c:tx>
            <c:strRef>
              <c:f>DEEPDIVE!$D$102</c:f>
            </c:strRef>
          </c:tx>
          <c:marker>
            <c:symbol val="none"/>
          </c:marker>
          <c:cat>
            <c:strRef>
              <c:f>DEEPDIVE!$C$103:$C$131</c:f>
            </c:strRef>
          </c:cat>
          <c:val>
            <c:numRef>
              <c:f>DEEPDIVE!$D$103:$D$127</c:f>
            </c:numRef>
          </c:val>
          <c:smooth val="1"/>
        </c:ser>
        <c:axId val="979253468"/>
        <c:axId val="1138585293"/>
      </c:lineChart>
      <c:catAx>
        <c:axId val="979253468"/>
        <c:scaling>
          <c:orientation val="minMax"/>
          <c:max val="2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Quarter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38585293"/>
      </c:catAx>
      <c:valAx>
        <c:axId val="1138585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979253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262626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Return on Investment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DEEPDIVE!$J$102</c:f>
            </c:strRef>
          </c:tx>
          <c:marker>
            <c:symbol val="none"/>
          </c:marker>
          <c:cat>
            <c:strRef>
              <c:f>DEEPDIVE!$K$103:$K$108</c:f>
            </c:strRef>
          </c:cat>
          <c:val>
            <c:numRef>
              <c:f>DEEPDIVE!$J$103:$J$108</c:f>
            </c:numRef>
          </c:val>
          <c:smooth val="0"/>
        </c:ser>
        <c:axId val="536370958"/>
        <c:axId val="1246356632"/>
      </c:lineChart>
      <c:catAx>
        <c:axId val="536370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246356632"/>
      </c:catAx>
      <c:valAx>
        <c:axId val="1246356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36370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6262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chart" Target="../charts/chart2.xml"/><Relationship Id="rId4" Type="http://schemas.openxmlformats.org/officeDocument/2006/relationships/image" Target="../media/Chart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25</xdr:row>
      <xdr:rowOff>180975</xdr:rowOff>
    </xdr:from>
    <xdr:ext cx="5734050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1905000</xdr:colOff>
      <xdr:row>25</xdr:row>
      <xdr:rowOff>180975</xdr:rowOff>
    </xdr:from>
    <xdr:ext cx="5734050" cy="3543300"/>
    <xdr:pic>
      <xdr:nvPicPr>
        <xdr:cNvPr id="1225702946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257175</xdr:colOff>
      <xdr:row>25</xdr:row>
      <xdr:rowOff>180975</xdr:rowOff>
    </xdr:from>
    <xdr:ext cx="5715000" cy="3543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228600</xdr:colOff>
      <xdr:row>25</xdr:row>
      <xdr:rowOff>180975</xdr:rowOff>
    </xdr:from>
    <xdr:ext cx="5715000" cy="3543300"/>
    <xdr:pic>
      <xdr:nvPicPr>
        <xdr:cNvPr id="1344190673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1390650</xdr:colOff>
      <xdr:row>110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1390650</xdr:colOff>
      <xdr:row>128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99999"/>
      </a:accent1>
      <a:accent2>
        <a:srgbClr val="EF709C"/>
      </a:accent2>
      <a:accent3>
        <a:srgbClr val="C91362"/>
      </a:accent3>
      <a:accent4>
        <a:srgbClr val="FFFFFF"/>
      </a:accent4>
      <a:accent5>
        <a:srgbClr val="E91E63"/>
      </a:accent5>
      <a:accent6>
        <a:srgbClr val="03DA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4" max="4" width="33.43"/>
    <col customWidth="1" min="7" max="7" width="38.71"/>
    <col customWidth="1" min="10" max="10" width="18.14"/>
    <col customWidth="1" min="11" max="11" width="27.71"/>
  </cols>
  <sheetData>
    <row r="1">
      <c r="A1" s="1" t="s">
        <v>0</v>
      </c>
      <c r="B1" s="2" t="s">
        <v>1</v>
      </c>
      <c r="C1" s="3"/>
      <c r="D1" s="4" t="s">
        <v>2</v>
      </c>
      <c r="E1" s="2" t="s">
        <v>3</v>
      </c>
      <c r="F1" s="3"/>
      <c r="G1" s="4" t="s">
        <v>4</v>
      </c>
      <c r="H1" s="2" t="s">
        <v>5</v>
      </c>
    </row>
    <row r="2">
      <c r="A2" s="5" t="s">
        <v>6</v>
      </c>
      <c r="B2" s="6">
        <f>64.44*1611</f>
        <v>103812.84</v>
      </c>
      <c r="C2" s="7" t="s">
        <v>7</v>
      </c>
      <c r="D2" s="5" t="s">
        <v>8</v>
      </c>
      <c r="E2" s="6">
        <f> 0.78*12*18000/4</f>
        <v>42120</v>
      </c>
      <c r="F2" s="3"/>
      <c r="G2" s="5" t="s">
        <v>9</v>
      </c>
      <c r="H2" s="6">
        <f>1.1*7500</f>
        <v>8250</v>
      </c>
    </row>
    <row r="3">
      <c r="A3" s="8" t="s">
        <v>10</v>
      </c>
      <c r="B3" s="9">
        <v>50000.0</v>
      </c>
      <c r="C3" s="3"/>
      <c r="D3" s="5" t="s">
        <v>11</v>
      </c>
      <c r="E3" s="6">
        <f>30000+2600*20+600*20</f>
        <v>94000</v>
      </c>
      <c r="F3" s="3"/>
      <c r="G3" s="5" t="s">
        <v>12</v>
      </c>
      <c r="H3" s="6">
        <v>5000.0</v>
      </c>
    </row>
    <row r="4">
      <c r="A4" s="5" t="s">
        <v>13</v>
      </c>
      <c r="B4" s="6">
        <f>12*5*3500*0.8</f>
        <v>168000</v>
      </c>
      <c r="C4" s="7" t="s">
        <v>7</v>
      </c>
      <c r="D4" s="5" t="s">
        <v>14</v>
      </c>
      <c r="E4" s="6">
        <f>50000</f>
        <v>50000</v>
      </c>
      <c r="F4" s="3"/>
      <c r="G4" s="10" t="s">
        <v>15</v>
      </c>
      <c r="H4" s="11">
        <f>SUM(H2,H3)*0.3</f>
        <v>3975</v>
      </c>
    </row>
    <row r="5">
      <c r="A5" s="5" t="s">
        <v>16</v>
      </c>
      <c r="B5" s="6">
        <v>3000.0</v>
      </c>
      <c r="C5" s="7" t="s">
        <v>7</v>
      </c>
      <c r="D5" s="5" t="s">
        <v>17</v>
      </c>
      <c r="E5" s="6">
        <f>10000/4</f>
        <v>2500</v>
      </c>
      <c r="F5" s="7" t="s">
        <v>18</v>
      </c>
      <c r="G5" s="7"/>
      <c r="H5" s="12"/>
    </row>
    <row r="6">
      <c r="A6" s="5" t="s">
        <v>19</v>
      </c>
      <c r="B6" s="6">
        <f>7000*12*12*0.8+1000*12+500*5</f>
        <v>820900</v>
      </c>
      <c r="C6" s="7" t="s">
        <v>7</v>
      </c>
      <c r="D6" s="5" t="s">
        <v>20</v>
      </c>
      <c r="E6" s="6">
        <f>40*25*8*26*12/4*0.8</f>
        <v>499200</v>
      </c>
      <c r="F6" s="3"/>
      <c r="G6" s="7"/>
      <c r="H6" s="3"/>
    </row>
    <row r="7">
      <c r="A7" s="5" t="s">
        <v>21</v>
      </c>
      <c r="B7" s="6">
        <v>30000.0</v>
      </c>
      <c r="C7" s="7" t="s">
        <v>7</v>
      </c>
      <c r="D7" s="5" t="s">
        <v>16</v>
      </c>
      <c r="E7" s="6">
        <v>5000.0</v>
      </c>
      <c r="F7" s="3"/>
      <c r="G7" s="13" t="s">
        <v>22</v>
      </c>
      <c r="H7" s="14" t="s">
        <v>5</v>
      </c>
    </row>
    <row r="8">
      <c r="A8" s="10" t="s">
        <v>23</v>
      </c>
      <c r="B8" s="11">
        <f>sum(B2,B3,B4,B5,B7,B6)</f>
        <v>1175712.84</v>
      </c>
      <c r="C8" s="3"/>
      <c r="D8" s="5" t="s">
        <v>24</v>
      </c>
      <c r="E8" s="6">
        <v>1000.0</v>
      </c>
      <c r="F8" s="3"/>
      <c r="G8" s="15" t="s">
        <v>25</v>
      </c>
      <c r="H8" s="16">
        <v>30000.0</v>
      </c>
    </row>
    <row r="9">
      <c r="A9" s="7"/>
      <c r="B9" s="12"/>
      <c r="C9" s="3"/>
      <c r="D9" s="5" t="s">
        <v>26</v>
      </c>
      <c r="E9" s="6">
        <v>5000.0</v>
      </c>
      <c r="F9" s="3"/>
      <c r="G9" s="15" t="s">
        <v>27</v>
      </c>
      <c r="H9" s="16">
        <v>130000.0</v>
      </c>
    </row>
    <row r="10">
      <c r="A10" s="3"/>
      <c r="B10" s="3"/>
      <c r="C10" s="3"/>
      <c r="D10" s="5" t="s">
        <v>28</v>
      </c>
      <c r="E10" s="6">
        <v>600.0</v>
      </c>
      <c r="F10" s="3"/>
      <c r="G10" s="15" t="s">
        <v>29</v>
      </c>
      <c r="H10" s="16">
        <f>10000*30</f>
        <v>300000</v>
      </c>
    </row>
    <row r="11">
      <c r="A11" s="3"/>
      <c r="B11" s="17"/>
      <c r="C11" s="3"/>
      <c r="D11" s="5" t="s">
        <v>30</v>
      </c>
      <c r="E11" s="6">
        <v>15000.0</v>
      </c>
      <c r="F11" s="3"/>
      <c r="G11" s="18" t="s">
        <v>31</v>
      </c>
      <c r="H11" s="19">
        <v>1000000.0</v>
      </c>
    </row>
    <row r="12">
      <c r="A12" s="3"/>
      <c r="B12" s="17"/>
      <c r="C12" s="3"/>
      <c r="D12" s="10" t="s">
        <v>15</v>
      </c>
      <c r="E12" s="11">
        <f>SUM(E2:E11)</f>
        <v>714420</v>
      </c>
      <c r="F12" s="3"/>
    </row>
    <row r="13">
      <c r="A13" s="3"/>
      <c r="B13" s="17"/>
      <c r="C13" s="3"/>
      <c r="D13" s="7" t="s">
        <v>32</v>
      </c>
      <c r="E13" s="17"/>
      <c r="F13" s="3"/>
      <c r="G13" s="3"/>
      <c r="H13" s="3"/>
    </row>
    <row r="14">
      <c r="A14" s="4" t="s">
        <v>33</v>
      </c>
      <c r="B14" s="2" t="s">
        <v>1</v>
      </c>
      <c r="C14" s="3"/>
      <c r="D14" s="3"/>
      <c r="E14" s="3"/>
      <c r="F14" s="3"/>
      <c r="G14" s="3"/>
      <c r="H14" s="3"/>
    </row>
    <row r="15">
      <c r="A15" s="5" t="s">
        <v>34</v>
      </c>
      <c r="B15" s="6">
        <f>50000*10</f>
        <v>500000</v>
      </c>
      <c r="C15" s="7" t="s">
        <v>7</v>
      </c>
      <c r="D15" s="4" t="s">
        <v>35</v>
      </c>
      <c r="E15" s="20" t="s">
        <v>1</v>
      </c>
      <c r="F15" s="21"/>
      <c r="G15" s="22"/>
      <c r="H15" s="23"/>
    </row>
    <row r="16">
      <c r="A16" s="7"/>
      <c r="B16" s="12"/>
      <c r="C16" s="7"/>
      <c r="D16" s="5" t="s">
        <v>36</v>
      </c>
      <c r="E16" s="6">
        <v>2000000.0</v>
      </c>
      <c r="F16" s="24"/>
    </row>
    <row r="17">
      <c r="A17" s="5" t="s">
        <v>37</v>
      </c>
      <c r="B17" s="6">
        <v>165000.0</v>
      </c>
      <c r="C17" s="3"/>
      <c r="D17" s="7"/>
      <c r="E17" s="12"/>
      <c r="F17" s="24"/>
      <c r="G17" s="25" t="s">
        <v>38</v>
      </c>
      <c r="H17" s="3"/>
      <c r="J17" s="26" t="s">
        <v>39</v>
      </c>
    </row>
    <row r="18">
      <c r="A18" s="5" t="s">
        <v>40</v>
      </c>
      <c r="B18" s="6">
        <f>10*1300</f>
        <v>13000</v>
      </c>
      <c r="C18" s="7" t="s">
        <v>41</v>
      </c>
      <c r="D18" s="3"/>
      <c r="E18" s="17"/>
      <c r="F18" s="3"/>
      <c r="G18" s="27" t="s">
        <v>0</v>
      </c>
      <c r="H18" s="28">
        <f>B8</f>
        <v>1175712.84</v>
      </c>
      <c r="J18" s="27" t="s">
        <v>0</v>
      </c>
      <c r="K18" s="29">
        <v>1419312.0</v>
      </c>
    </row>
    <row r="19">
      <c r="A19" s="5" t="s">
        <v>12</v>
      </c>
      <c r="B19" s="6">
        <v>100000.0</v>
      </c>
      <c r="C19" s="3"/>
      <c r="D19" s="3"/>
      <c r="E19" s="17"/>
      <c r="F19" s="3"/>
      <c r="G19" s="30" t="s">
        <v>42</v>
      </c>
      <c r="H19" s="31">
        <f>E12</f>
        <v>714420</v>
      </c>
      <c r="J19" s="30" t="s">
        <v>42</v>
      </c>
      <c r="K19" s="32">
        <v>839220.0</v>
      </c>
    </row>
    <row r="20">
      <c r="A20" s="5" t="s">
        <v>43</v>
      </c>
      <c r="B20" s="6">
        <f>0.84*600*10</f>
        <v>5040</v>
      </c>
      <c r="C20" s="7" t="s">
        <v>7</v>
      </c>
      <c r="D20" s="4" t="s">
        <v>44</v>
      </c>
      <c r="E20" s="33">
        <v>6000000.0</v>
      </c>
      <c r="F20" s="7" t="s">
        <v>45</v>
      </c>
      <c r="G20" s="30" t="s">
        <v>46</v>
      </c>
      <c r="H20" s="31">
        <f>H4</f>
        <v>3975</v>
      </c>
      <c r="J20" s="34" t="s">
        <v>46</v>
      </c>
      <c r="K20" s="32">
        <v>13250.0</v>
      </c>
    </row>
    <row r="21">
      <c r="A21" s="10" t="s">
        <v>15</v>
      </c>
      <c r="B21" s="11">
        <f>sum(B15:B20)</f>
        <v>783040</v>
      </c>
      <c r="C21" s="3"/>
      <c r="D21" s="3"/>
      <c r="E21" s="17"/>
      <c r="F21" s="3"/>
      <c r="G21" s="35" t="s">
        <v>47</v>
      </c>
      <c r="H21" s="31">
        <f>B21</f>
        <v>783040</v>
      </c>
      <c r="J21" s="30" t="s">
        <v>47</v>
      </c>
      <c r="K21" s="32">
        <v>6283040.0</v>
      </c>
    </row>
    <row r="22">
      <c r="A22" s="7"/>
      <c r="B22" s="12"/>
      <c r="C22" s="3"/>
      <c r="D22" s="3"/>
      <c r="E22" s="17"/>
      <c r="F22" s="3"/>
      <c r="G22" s="34" t="s">
        <v>48</v>
      </c>
      <c r="H22" s="31">
        <f>E16</f>
        <v>2000000</v>
      </c>
      <c r="J22" s="35" t="s">
        <v>48</v>
      </c>
      <c r="K22" s="32">
        <v>2000000.0</v>
      </c>
    </row>
    <row r="23">
      <c r="G23" s="34" t="s">
        <v>49</v>
      </c>
      <c r="H23" s="31">
        <f>E20</f>
        <v>6000000</v>
      </c>
      <c r="J23" s="34" t="s">
        <v>49</v>
      </c>
      <c r="K23" s="32">
        <v>9000000.0</v>
      </c>
    </row>
    <row r="24">
      <c r="G24" s="34" t="s">
        <v>22</v>
      </c>
      <c r="H24" s="31">
        <f>H10+H8+H9+H11</f>
        <v>1460000</v>
      </c>
    </row>
    <row r="25">
      <c r="A25" s="7"/>
      <c r="B25" s="36"/>
      <c r="C25" s="7"/>
      <c r="D25" s="7"/>
      <c r="E25" s="36"/>
      <c r="F25" s="7"/>
      <c r="G25" s="37" t="s">
        <v>50</v>
      </c>
      <c r="H25" s="38">
        <f>sum(B21,B8,E12,E16,E20,H10,H9,H8,H4,H15,H11)</f>
        <v>12137147.84</v>
      </c>
      <c r="J25" s="37" t="s">
        <v>50</v>
      </c>
      <c r="K25" s="39">
        <f>SUM(K18:K24)</f>
        <v>19554822</v>
      </c>
    </row>
    <row r="26">
      <c r="A26" s="12"/>
      <c r="B26" s="12"/>
      <c r="C26" s="12"/>
      <c r="D26" s="12"/>
      <c r="E26" s="12"/>
      <c r="F26" s="12"/>
    </row>
    <row r="27">
      <c r="A27" s="12"/>
      <c r="B27" s="12"/>
      <c r="C27" s="12"/>
      <c r="D27" s="12"/>
      <c r="E27" s="12"/>
      <c r="F27" s="12"/>
    </row>
    <row r="28">
      <c r="A28" s="12"/>
      <c r="B28" s="12"/>
      <c r="C28" s="12"/>
      <c r="D28" s="12"/>
      <c r="E28" s="12"/>
      <c r="F28" s="12"/>
    </row>
    <row r="29">
      <c r="A29" s="12"/>
      <c r="B29" s="12"/>
      <c r="C29" s="12"/>
      <c r="D29" s="12"/>
      <c r="E29" s="12"/>
      <c r="F29" s="12"/>
      <c r="G29" s="12"/>
    </row>
    <row r="30">
      <c r="A30" s="3"/>
      <c r="B30" s="17"/>
      <c r="C30" s="3"/>
      <c r="D30" s="3"/>
      <c r="E30" s="17"/>
      <c r="F30" s="3"/>
      <c r="G30" s="40"/>
    </row>
    <row r="46">
      <c r="A46" s="41" t="s">
        <v>51</v>
      </c>
    </row>
    <row r="47">
      <c r="A47" s="42" t="s">
        <v>52</v>
      </c>
      <c r="B47" s="43">
        <v>6000000.0</v>
      </c>
      <c r="C47" s="7"/>
    </row>
    <row r="48">
      <c r="A48" s="44" t="s">
        <v>53</v>
      </c>
      <c r="B48" s="45">
        <f t="shared" ref="B48:B49" si="1">C48*25/40</f>
        <v>1031718.75</v>
      </c>
      <c r="C48" s="46">
        <v>1650750.0</v>
      </c>
    </row>
    <row r="49">
      <c r="A49" s="44" t="s">
        <v>54</v>
      </c>
      <c r="B49" s="45">
        <f t="shared" si="1"/>
        <v>836718.75</v>
      </c>
      <c r="C49" s="46">
        <v>1338750.0</v>
      </c>
    </row>
    <row r="50">
      <c r="A50" s="47" t="s">
        <v>55</v>
      </c>
      <c r="B50" s="45">
        <v>300000.0</v>
      </c>
      <c r="C50" s="12"/>
    </row>
    <row r="51">
      <c r="A51" s="44" t="s">
        <v>56</v>
      </c>
      <c r="B51" s="48">
        <f>15000*120+15000*60</f>
        <v>2700000</v>
      </c>
      <c r="C51" s="12"/>
    </row>
    <row r="52">
      <c r="A52" s="49" t="s">
        <v>15</v>
      </c>
      <c r="B52" s="50">
        <f>sum(B47:B51)</f>
        <v>10868437.5</v>
      </c>
      <c r="C5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20.86"/>
    <col customWidth="1" min="5" max="5" width="16.43"/>
    <col customWidth="1" min="6" max="6" width="17.86"/>
    <col customWidth="1" min="7" max="7" width="17.71"/>
    <col customWidth="1" min="8" max="8" width="21.0"/>
    <col customWidth="1" min="9" max="9" width="18.29"/>
    <col customWidth="1" min="10" max="10" width="18.43"/>
  </cols>
  <sheetData>
    <row r="1" hidden="1">
      <c r="A1" s="4" t="s">
        <v>57</v>
      </c>
      <c r="B1" s="2" t="s">
        <v>1</v>
      </c>
      <c r="C1" s="3"/>
      <c r="D1" s="4" t="s">
        <v>2</v>
      </c>
      <c r="E1" s="2" t="s">
        <v>3</v>
      </c>
      <c r="F1" s="3"/>
      <c r="G1" s="4" t="s">
        <v>4</v>
      </c>
      <c r="H1" s="2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idden="1">
      <c r="A2" s="5" t="s">
        <v>6</v>
      </c>
      <c r="B2" s="6">
        <f>64.44*1611</f>
        <v>103812.84</v>
      </c>
      <c r="C2" s="7" t="s">
        <v>7</v>
      </c>
      <c r="D2" s="5" t="s">
        <v>8</v>
      </c>
      <c r="E2" s="6">
        <f> 0.78*12*18000/4</f>
        <v>42120</v>
      </c>
      <c r="F2" s="3"/>
      <c r="G2" s="5" t="s">
        <v>9</v>
      </c>
      <c r="H2" s="6">
        <f>1.1*7500</f>
        <v>8250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8" t="s">
        <v>10</v>
      </c>
      <c r="B3" s="9">
        <v>50000.0</v>
      </c>
      <c r="C3" s="3"/>
      <c r="D3" s="5" t="s">
        <v>11</v>
      </c>
      <c r="E3" s="6">
        <f>30000+2600*20+600*20</f>
        <v>94000</v>
      </c>
      <c r="F3" s="3"/>
      <c r="G3" s="5" t="s">
        <v>12</v>
      </c>
      <c r="H3" s="6">
        <v>5000.0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idden="1">
      <c r="A4" s="5" t="s">
        <v>13</v>
      </c>
      <c r="B4" s="6">
        <f>12*5*3500</f>
        <v>210000</v>
      </c>
      <c r="C4" s="7" t="s">
        <v>7</v>
      </c>
      <c r="D4" s="5" t="s">
        <v>14</v>
      </c>
      <c r="E4" s="6">
        <f>50000</f>
        <v>50000</v>
      </c>
      <c r="F4" s="3"/>
      <c r="G4" s="10" t="s">
        <v>15</v>
      </c>
      <c r="H4" s="11">
        <f>SUM(H2,H3)</f>
        <v>13250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idden="1">
      <c r="A5" s="5" t="s">
        <v>16</v>
      </c>
      <c r="B5" s="6">
        <v>3000.0</v>
      </c>
      <c r="C5" s="7" t="s">
        <v>7</v>
      </c>
      <c r="D5" s="5" t="s">
        <v>17</v>
      </c>
      <c r="E5" s="6">
        <f>10000/4</f>
        <v>2500</v>
      </c>
      <c r="F5" s="7" t="s">
        <v>18</v>
      </c>
      <c r="G5" s="51" t="s">
        <v>58</v>
      </c>
      <c r="H5" s="52">
        <f>H4/4</f>
        <v>3312.5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idden="1">
      <c r="A6" s="5" t="s">
        <v>19</v>
      </c>
      <c r="B6" s="6">
        <f>7000*12*12+1000*12+500*5</f>
        <v>1022500</v>
      </c>
      <c r="C6" s="7" t="s">
        <v>7</v>
      </c>
      <c r="D6" s="5" t="s">
        <v>20</v>
      </c>
      <c r="E6" s="6">
        <f>40*25*8*26*12/4</f>
        <v>624000</v>
      </c>
      <c r="F6" s="3"/>
      <c r="G6" s="7" t="s">
        <v>59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idden="1">
      <c r="A7" s="5" t="s">
        <v>21</v>
      </c>
      <c r="B7" s="6">
        <v>30000.0</v>
      </c>
      <c r="C7" s="7" t="s">
        <v>7</v>
      </c>
      <c r="D7" s="5" t="s">
        <v>16</v>
      </c>
      <c r="E7" s="6">
        <v>5000.0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idden="1">
      <c r="A8" s="10" t="s">
        <v>23</v>
      </c>
      <c r="B8" s="11">
        <f>sum(B2,B3,B4,B5,B7,B6)</f>
        <v>1419312.84</v>
      </c>
      <c r="C8" s="3"/>
      <c r="D8" s="5" t="s">
        <v>24</v>
      </c>
      <c r="E8" s="6">
        <v>1000.0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idden="1">
      <c r="A9" s="51" t="s">
        <v>58</v>
      </c>
      <c r="B9" s="52">
        <f>(B8-B3)/4</f>
        <v>342328.21</v>
      </c>
      <c r="C9" s="3"/>
      <c r="D9" s="5" t="s">
        <v>26</v>
      </c>
      <c r="E9" s="6">
        <v>5000.0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idden="1">
      <c r="A10" s="3"/>
      <c r="B10" s="3"/>
      <c r="C10" s="3"/>
      <c r="D10" s="5" t="s">
        <v>28</v>
      </c>
      <c r="E10" s="6">
        <v>600.0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idden="1">
      <c r="A11" s="3"/>
      <c r="B11" s="17"/>
      <c r="C11" s="3"/>
      <c r="D11" s="5" t="s">
        <v>30</v>
      </c>
      <c r="E11" s="6">
        <v>15000.0</v>
      </c>
      <c r="F11" s="3"/>
      <c r="G11" s="7"/>
      <c r="H11" s="1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idden="1">
      <c r="A12" s="3"/>
      <c r="B12" s="17"/>
      <c r="C12" s="3"/>
      <c r="D12" s="10" t="s">
        <v>15</v>
      </c>
      <c r="E12" s="11">
        <f>SUM(E2:E11)</f>
        <v>839220</v>
      </c>
      <c r="F12" s="3"/>
      <c r="G12" s="7"/>
      <c r="H12" s="1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idden="1">
      <c r="A13" s="3"/>
      <c r="B13" s="17"/>
      <c r="C13" s="3"/>
      <c r="D13" s="7" t="s">
        <v>32</v>
      </c>
      <c r="E13" s="17"/>
      <c r="F13" s="3"/>
      <c r="G13" s="7"/>
      <c r="H13" s="1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idden="1">
      <c r="A14" s="4" t="s">
        <v>33</v>
      </c>
      <c r="B14" s="2" t="s">
        <v>1</v>
      </c>
      <c r="C14" s="3"/>
      <c r="D14" s="3"/>
      <c r="E14" s="3"/>
      <c r="F14" s="3"/>
      <c r="G14" s="7"/>
      <c r="H14" s="1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idden="1">
      <c r="A15" s="5" t="s">
        <v>34</v>
      </c>
      <c r="B15" s="6">
        <f>50000*10</f>
        <v>500000</v>
      </c>
      <c r="C15" s="7" t="s">
        <v>7</v>
      </c>
      <c r="D15" s="4" t="s">
        <v>35</v>
      </c>
      <c r="E15" s="20" t="s">
        <v>1</v>
      </c>
      <c r="F15" s="21"/>
      <c r="G15" s="53"/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idden="1">
      <c r="A16" s="8" t="s">
        <v>60</v>
      </c>
      <c r="B16" s="9">
        <v>1000000.0</v>
      </c>
      <c r="C16" s="7" t="s">
        <v>61</v>
      </c>
      <c r="D16" s="5" t="s">
        <v>36</v>
      </c>
      <c r="E16" s="6">
        <v>2000000.0</v>
      </c>
      <c r="F16" s="24"/>
      <c r="G16" s="54"/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idden="1">
      <c r="A17" s="5" t="s">
        <v>37</v>
      </c>
      <c r="B17" s="6">
        <v>165000.0</v>
      </c>
      <c r="C17" s="3"/>
      <c r="D17" s="51" t="s">
        <v>58</v>
      </c>
      <c r="E17" s="52">
        <f>E16/4</f>
        <v>500000</v>
      </c>
      <c r="F17" s="24"/>
      <c r="G17" s="2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idden="1">
      <c r="A18" s="8" t="s">
        <v>62</v>
      </c>
      <c r="B18" s="9">
        <f>250*18000</f>
        <v>4500000</v>
      </c>
      <c r="C18" s="7" t="s">
        <v>63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idden="1">
      <c r="A19" s="5" t="s">
        <v>40</v>
      </c>
      <c r="B19" s="6">
        <f>10*1300</f>
        <v>13000</v>
      </c>
      <c r="C19" s="7" t="s">
        <v>41</v>
      </c>
      <c r="D19" s="3"/>
      <c r="E19" s="1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idden="1">
      <c r="A20" s="5" t="s">
        <v>12</v>
      </c>
      <c r="B20" s="6">
        <v>100000.0</v>
      </c>
      <c r="C20" s="3"/>
      <c r="D20" s="3"/>
      <c r="E20" s="1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idden="1">
      <c r="A21" s="5" t="s">
        <v>43</v>
      </c>
      <c r="B21" s="6">
        <f>0.84*600*10</f>
        <v>5040</v>
      </c>
      <c r="C21" s="7" t="s">
        <v>7</v>
      </c>
      <c r="D21" s="4" t="s">
        <v>44</v>
      </c>
      <c r="E21" s="6">
        <v>9000000.0</v>
      </c>
      <c r="F21" s="7" t="s">
        <v>45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idden="1">
      <c r="A22" s="10" t="s">
        <v>15</v>
      </c>
      <c r="B22" s="11">
        <f>sum(B15:B21)</f>
        <v>6283040</v>
      </c>
      <c r="C22" s="3"/>
      <c r="D22" s="3"/>
      <c r="E22" s="17"/>
      <c r="F22" s="3"/>
      <c r="G22" s="1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idden="1">
      <c r="A23" s="51" t="s">
        <v>58</v>
      </c>
      <c r="B23" s="52">
        <f>B22/4</f>
        <v>1570760</v>
      </c>
      <c r="C23" s="3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5" t="s">
        <v>64</v>
      </c>
      <c r="B24" s="3"/>
      <c r="C24" s="3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6" t="s">
        <v>65</v>
      </c>
      <c r="B25" s="17"/>
      <c r="C25" s="3"/>
      <c r="D25" s="3"/>
      <c r="E25" s="17" t="s">
        <v>66</v>
      </c>
      <c r="F25" s="3"/>
      <c r="G25" s="3"/>
      <c r="H25" s="1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7" t="s">
        <v>0</v>
      </c>
      <c r="B26" s="58" t="s">
        <v>67</v>
      </c>
      <c r="C26" s="57" t="s">
        <v>46</v>
      </c>
      <c r="D26" s="57" t="s">
        <v>68</v>
      </c>
      <c r="E26" s="58" t="s">
        <v>69</v>
      </c>
      <c r="F26" s="57" t="s">
        <v>49</v>
      </c>
      <c r="G26" s="59" t="s">
        <v>22</v>
      </c>
      <c r="H26" s="57" t="s">
        <v>23</v>
      </c>
      <c r="I26" s="3"/>
      <c r="J26" s="3"/>
      <c r="K26" s="3"/>
      <c r="L26" s="7"/>
      <c r="M26" s="7"/>
      <c r="N26" s="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0">
        <f>B3</f>
        <v>50000</v>
      </c>
      <c r="B27" s="61"/>
      <c r="C27" s="61"/>
      <c r="D27" s="61"/>
      <c r="E27" s="61"/>
      <c r="F27" s="61"/>
      <c r="G27" s="61"/>
      <c r="H27" s="60">
        <f t="shared" ref="H27:H31" si="1">sum(A27:G27)</f>
        <v>50000</v>
      </c>
      <c r="I27" s="3"/>
      <c r="J27" s="3"/>
      <c r="K27" s="3"/>
      <c r="L27" s="12"/>
      <c r="M27" s="12"/>
      <c r="N27" s="12"/>
      <c r="O27" s="12"/>
      <c r="P27" s="7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2">
        <f>('Exp and Rev'!B8-'Exp and Rev'!B3)/4</f>
        <v>281428.21</v>
      </c>
      <c r="B28" s="62">
        <f>'Exp and Rev'!E12/4</f>
        <v>178605</v>
      </c>
      <c r="C28" s="62">
        <f>'Exp and Rev'!H4/4</f>
        <v>993.75</v>
      </c>
      <c r="D28" s="62">
        <f>'Exp and Rev'!B21/4</f>
        <v>195760</v>
      </c>
      <c r="E28" s="62">
        <f>'Exp and Rev'!E16/4</f>
        <v>500000</v>
      </c>
      <c r="F28" s="19">
        <v>2250000.0</v>
      </c>
      <c r="G28" s="62">
        <f>sum('Exp and Rev'!H8:H11)/4</f>
        <v>365000</v>
      </c>
      <c r="H28" s="62">
        <f t="shared" si="1"/>
        <v>3771786.96</v>
      </c>
      <c r="I28" s="3"/>
      <c r="J28" s="3"/>
      <c r="K28" s="3"/>
      <c r="L28" s="12"/>
      <c r="M28" s="12"/>
      <c r="N28" s="12"/>
      <c r="O28" s="12"/>
      <c r="P28" s="7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2">
        <f t="shared" ref="A29:E29" si="2">A28</f>
        <v>281428.21</v>
      </c>
      <c r="B29" s="62">
        <f t="shared" si="2"/>
        <v>178605</v>
      </c>
      <c r="C29" s="62">
        <f t="shared" si="2"/>
        <v>993.75</v>
      </c>
      <c r="D29" s="62">
        <f t="shared" si="2"/>
        <v>195760</v>
      </c>
      <c r="E29" s="62">
        <f t="shared" si="2"/>
        <v>500000</v>
      </c>
      <c r="F29" s="19">
        <v>2250000.0</v>
      </c>
      <c r="G29" s="62">
        <f t="shared" ref="G29:G31" si="4">G28</f>
        <v>365000</v>
      </c>
      <c r="H29" s="62">
        <f t="shared" si="1"/>
        <v>3771786.96</v>
      </c>
      <c r="I29" s="3"/>
      <c r="J29" s="3"/>
      <c r="K29" s="3"/>
      <c r="L29" s="12"/>
      <c r="M29" s="12"/>
      <c r="N29" s="12"/>
      <c r="O29" s="12"/>
      <c r="P29" s="6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2">
        <f t="shared" ref="A30:E30" si="3">A29</f>
        <v>281428.21</v>
      </c>
      <c r="B30" s="62">
        <f t="shared" si="3"/>
        <v>178605</v>
      </c>
      <c r="C30" s="62">
        <f t="shared" si="3"/>
        <v>993.75</v>
      </c>
      <c r="D30" s="62">
        <f t="shared" si="3"/>
        <v>195760</v>
      </c>
      <c r="E30" s="62">
        <f t="shared" si="3"/>
        <v>500000</v>
      </c>
      <c r="F30" s="19">
        <v>2250000.0</v>
      </c>
      <c r="G30" s="62">
        <f t="shared" si="4"/>
        <v>365000</v>
      </c>
      <c r="H30" s="62">
        <f t="shared" si="1"/>
        <v>3771786.96</v>
      </c>
      <c r="I30" s="3"/>
      <c r="J30" s="3"/>
      <c r="K30" s="3"/>
      <c r="L30" s="12"/>
      <c r="M30" s="12"/>
      <c r="N30" s="12"/>
      <c r="O30" s="12"/>
      <c r="P30" s="6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2">
        <f t="shared" ref="A31:E31" si="5">A30</f>
        <v>281428.21</v>
      </c>
      <c r="B31" s="62">
        <f t="shared" si="5"/>
        <v>178605</v>
      </c>
      <c r="C31" s="62">
        <f t="shared" si="5"/>
        <v>993.75</v>
      </c>
      <c r="D31" s="62">
        <f t="shared" si="5"/>
        <v>195760</v>
      </c>
      <c r="E31" s="62">
        <f t="shared" si="5"/>
        <v>500000</v>
      </c>
      <c r="F31" s="19">
        <v>2250000.0</v>
      </c>
      <c r="G31" s="62">
        <f t="shared" si="4"/>
        <v>365000</v>
      </c>
      <c r="H31" s="62">
        <f t="shared" si="1"/>
        <v>3771786.96</v>
      </c>
      <c r="I31" s="3"/>
      <c r="J31" s="3"/>
      <c r="K31" s="3"/>
      <c r="L31" s="12"/>
      <c r="M31" s="12"/>
      <c r="N31" s="12"/>
      <c r="O31" s="12"/>
      <c r="P31" s="7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H32" s="64">
        <f>sum(H27:H31)</f>
        <v>15137147.84</v>
      </c>
      <c r="I32" s="3"/>
      <c r="J32" s="3"/>
      <c r="K32" s="3"/>
      <c r="L32" s="1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6" t="s">
        <v>70</v>
      </c>
      <c r="B33" s="17"/>
      <c r="C33" s="3"/>
      <c r="D33" s="3"/>
      <c r="E33" s="17" t="s">
        <v>66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7" t="s">
        <v>0</v>
      </c>
      <c r="B34" s="58" t="s">
        <v>67</v>
      </c>
      <c r="C34" s="57" t="s">
        <v>46</v>
      </c>
      <c r="D34" s="57" t="s">
        <v>68</v>
      </c>
      <c r="E34" s="58" t="s">
        <v>69</v>
      </c>
      <c r="F34" s="57" t="s">
        <v>49</v>
      </c>
      <c r="G34" s="57" t="s">
        <v>23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5"/>
      <c r="B35" s="65"/>
      <c r="C35" s="66"/>
      <c r="D35" s="9">
        <f>B18+B16</f>
        <v>5500000</v>
      </c>
      <c r="E35" s="67"/>
      <c r="F35" s="67"/>
      <c r="G35" s="9">
        <f t="shared" ref="G35:G39" si="6">sum(A35:F35)</f>
        <v>5500000</v>
      </c>
      <c r="H35" s="3"/>
      <c r="I35" s="3"/>
      <c r="J35" s="12"/>
      <c r="K35" s="1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>
        <f>sum(B2,B4,B5,B6,B7)/4</f>
        <v>342328.21</v>
      </c>
      <c r="B36" s="6">
        <f t="shared" ref="B36:B38" si="7">B37</f>
        <v>209805</v>
      </c>
      <c r="C36" s="6">
        <f>H5</f>
        <v>3312.5</v>
      </c>
      <c r="D36" s="6">
        <f>(B22-B18-B16)/4</f>
        <v>195760</v>
      </c>
      <c r="E36" s="6">
        <f>E17</f>
        <v>500000</v>
      </c>
      <c r="F36" s="6">
        <f>9000000/4</f>
        <v>2250000</v>
      </c>
      <c r="G36" s="6">
        <f t="shared" si="6"/>
        <v>3501205.71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>
        <f t="shared" ref="A37:A39" si="9">A36</f>
        <v>342328.21</v>
      </c>
      <c r="B37" s="6">
        <f t="shared" si="7"/>
        <v>209805</v>
      </c>
      <c r="C37" s="6">
        <v>3312.5</v>
      </c>
      <c r="D37" s="6">
        <f t="shared" ref="D37:F37" si="8">D36</f>
        <v>195760</v>
      </c>
      <c r="E37" s="6">
        <f t="shared" si="8"/>
        <v>500000</v>
      </c>
      <c r="F37" s="6">
        <f t="shared" si="8"/>
        <v>2250000</v>
      </c>
      <c r="G37" s="6">
        <f t="shared" si="6"/>
        <v>3501205.71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>
        <f t="shared" si="9"/>
        <v>342328.21</v>
      </c>
      <c r="B38" s="6">
        <f t="shared" si="7"/>
        <v>209805</v>
      </c>
      <c r="C38" s="6">
        <v>3312.5</v>
      </c>
      <c r="D38" s="6">
        <f t="shared" ref="D38:F38" si="10">D37</f>
        <v>195760</v>
      </c>
      <c r="E38" s="6">
        <f t="shared" si="10"/>
        <v>500000</v>
      </c>
      <c r="F38" s="6">
        <f t="shared" si="10"/>
        <v>2250000</v>
      </c>
      <c r="G38" s="6">
        <f t="shared" si="6"/>
        <v>3501205.71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>
        <f t="shared" si="9"/>
        <v>342328.21</v>
      </c>
      <c r="B39" s="6">
        <f>E12/4</f>
        <v>209805</v>
      </c>
      <c r="C39" s="6">
        <v>3312.5</v>
      </c>
      <c r="D39" s="6">
        <f t="shared" ref="D39:F39" si="11">D38</f>
        <v>195760</v>
      </c>
      <c r="E39" s="6">
        <f t="shared" si="11"/>
        <v>500000</v>
      </c>
      <c r="F39" s="6">
        <f t="shared" si="11"/>
        <v>2250000</v>
      </c>
      <c r="G39" s="6">
        <f t="shared" si="6"/>
        <v>3501205.71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2">
        <f t="shared" ref="A40:B40" si="12">sum(A35:A39)</f>
        <v>1369312.84</v>
      </c>
      <c r="B40" s="12">
        <f t="shared" si="12"/>
        <v>839220</v>
      </c>
      <c r="C40" s="12">
        <f>sum(C36:C39)</f>
        <v>13250</v>
      </c>
      <c r="D40" s="12">
        <f>sum(D35:D39)</f>
        <v>6283040</v>
      </c>
      <c r="E40" s="12">
        <f t="shared" ref="E40:F40" si="13">sum(E36:E39)</f>
        <v>2000000</v>
      </c>
      <c r="F40" s="12">
        <f t="shared" si="13"/>
        <v>9000000</v>
      </c>
      <c r="G40" s="11">
        <f>sum(G35:G39)</f>
        <v>19504822.84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17"/>
      <c r="C41" s="3"/>
      <c r="D41" s="3"/>
      <c r="E41" s="1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6" t="s">
        <v>71</v>
      </c>
      <c r="B42" s="17"/>
      <c r="C42" s="3"/>
      <c r="D42" s="3"/>
      <c r="E42" s="1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7" t="s">
        <v>0</v>
      </c>
      <c r="B43" s="58" t="s">
        <v>67</v>
      </c>
      <c r="C43" s="57" t="s">
        <v>46</v>
      </c>
      <c r="D43" s="57" t="s">
        <v>68</v>
      </c>
      <c r="E43" s="58" t="s">
        <v>69</v>
      </c>
      <c r="F43" s="57" t="s">
        <v>49</v>
      </c>
      <c r="G43" s="57" t="s">
        <v>23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>
        <f>A36+10%*A36</f>
        <v>376561.031</v>
      </c>
      <c r="B44" s="6">
        <f>B39+10%*B36</f>
        <v>230785.5</v>
      </c>
      <c r="C44" s="6">
        <f>C36+10%*C36</f>
        <v>3643.75</v>
      </c>
      <c r="D44" s="6">
        <f>D36 +10%*D36</f>
        <v>215336</v>
      </c>
      <c r="E44" s="6">
        <f>E36</f>
        <v>500000</v>
      </c>
      <c r="F44" s="6">
        <f>9000000/4</f>
        <v>2250000</v>
      </c>
      <c r="G44" s="6">
        <f t="shared" ref="G44:G47" si="15">sum(A44:F44)</f>
        <v>3576326.281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>
        <f t="shared" ref="A45:F45" si="14">A44</f>
        <v>376561.031</v>
      </c>
      <c r="B45" s="6">
        <f t="shared" si="14"/>
        <v>230785.5</v>
      </c>
      <c r="C45" s="6">
        <f t="shared" si="14"/>
        <v>3643.75</v>
      </c>
      <c r="D45" s="6">
        <f t="shared" si="14"/>
        <v>215336</v>
      </c>
      <c r="E45" s="6">
        <f t="shared" si="14"/>
        <v>500000</v>
      </c>
      <c r="F45" s="6">
        <f t="shared" si="14"/>
        <v>2250000</v>
      </c>
      <c r="G45" s="6">
        <f t="shared" si="15"/>
        <v>3576326.281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>
        <f t="shared" ref="A46:F46" si="16">A45</f>
        <v>376561.031</v>
      </c>
      <c r="B46" s="6">
        <f t="shared" si="16"/>
        <v>230785.5</v>
      </c>
      <c r="C46" s="6">
        <f t="shared" si="16"/>
        <v>3643.75</v>
      </c>
      <c r="D46" s="6">
        <f t="shared" si="16"/>
        <v>215336</v>
      </c>
      <c r="E46" s="6">
        <f t="shared" si="16"/>
        <v>500000</v>
      </c>
      <c r="F46" s="6">
        <f t="shared" si="16"/>
        <v>2250000</v>
      </c>
      <c r="G46" s="6">
        <f t="shared" si="15"/>
        <v>3576326.281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>
        <f t="shared" ref="A47:F47" si="17">A46</f>
        <v>376561.031</v>
      </c>
      <c r="B47" s="6">
        <f t="shared" si="17"/>
        <v>230785.5</v>
      </c>
      <c r="C47" s="6">
        <f t="shared" si="17"/>
        <v>3643.75</v>
      </c>
      <c r="D47" s="6">
        <f t="shared" si="17"/>
        <v>215336</v>
      </c>
      <c r="E47" s="6">
        <f t="shared" si="17"/>
        <v>500000</v>
      </c>
      <c r="F47" s="6">
        <f t="shared" si="17"/>
        <v>2250000</v>
      </c>
      <c r="G47" s="6">
        <f t="shared" si="15"/>
        <v>3576326.281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12">
        <f t="shared" ref="B48:C48" si="18">sum(B44:B47)</f>
        <v>923142</v>
      </c>
      <c r="C48" s="12">
        <f t="shared" si="18"/>
        <v>14575</v>
      </c>
      <c r="D48" s="3"/>
      <c r="E48" s="17"/>
      <c r="F48" s="3"/>
      <c r="G48" s="11">
        <f>sum(G44:G47)</f>
        <v>14305305.12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17"/>
      <c r="C49" s="3"/>
      <c r="D49" s="3"/>
      <c r="E49" s="1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6" t="s">
        <v>72</v>
      </c>
      <c r="B50" s="17"/>
      <c r="C50" s="3"/>
      <c r="D50" s="3"/>
      <c r="E50" s="1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7" t="s">
        <v>0</v>
      </c>
      <c r="B51" s="58" t="s">
        <v>67</v>
      </c>
      <c r="C51" s="57" t="s">
        <v>46</v>
      </c>
      <c r="D51" s="57" t="s">
        <v>68</v>
      </c>
      <c r="E51" s="58" t="s">
        <v>69</v>
      </c>
      <c r="F51" s="57" t="s">
        <v>49</v>
      </c>
      <c r="G51" s="57" t="s">
        <v>23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>
        <f t="shared" ref="A52:B52" si="19">A44+10%*A44</f>
        <v>414217.1341</v>
      </c>
      <c r="B52" s="6">
        <f t="shared" si="19"/>
        <v>253864.05</v>
      </c>
      <c r="C52" s="6">
        <f>C44*10%+C44</f>
        <v>4008.125</v>
      </c>
      <c r="D52" s="6">
        <f>D44+10%*D44</f>
        <v>236869.6</v>
      </c>
      <c r="E52" s="6">
        <f>E36</f>
        <v>500000</v>
      </c>
      <c r="F52" s="6">
        <f>9000000/4</f>
        <v>2250000</v>
      </c>
      <c r="G52" s="6">
        <f t="shared" ref="G52:G55" si="21">sum(A52:F52)</f>
        <v>3658958.909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>
        <f t="shared" ref="A53:F53" si="20">A52</f>
        <v>414217.1341</v>
      </c>
      <c r="B53" s="6">
        <f t="shared" si="20"/>
        <v>253864.05</v>
      </c>
      <c r="C53" s="6">
        <f t="shared" si="20"/>
        <v>4008.125</v>
      </c>
      <c r="D53" s="6">
        <f t="shared" si="20"/>
        <v>236869.6</v>
      </c>
      <c r="E53" s="6">
        <f t="shared" si="20"/>
        <v>500000</v>
      </c>
      <c r="F53" s="6">
        <f t="shared" si="20"/>
        <v>2250000</v>
      </c>
      <c r="G53" s="6">
        <f t="shared" si="21"/>
        <v>3658958.909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>
        <f t="shared" ref="A54:F54" si="22">A53</f>
        <v>414217.1341</v>
      </c>
      <c r="B54" s="6">
        <f t="shared" si="22"/>
        <v>253864.05</v>
      </c>
      <c r="C54" s="6">
        <f t="shared" si="22"/>
        <v>4008.125</v>
      </c>
      <c r="D54" s="6">
        <f t="shared" si="22"/>
        <v>236869.6</v>
      </c>
      <c r="E54" s="6">
        <f t="shared" si="22"/>
        <v>500000</v>
      </c>
      <c r="F54" s="6">
        <f t="shared" si="22"/>
        <v>2250000</v>
      </c>
      <c r="G54" s="6">
        <f t="shared" si="21"/>
        <v>3658958.909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>
        <f t="shared" ref="A55:F55" si="23">A54</f>
        <v>414217.1341</v>
      </c>
      <c r="B55" s="6">
        <f t="shared" si="23"/>
        <v>253864.05</v>
      </c>
      <c r="C55" s="6">
        <f t="shared" si="23"/>
        <v>4008.125</v>
      </c>
      <c r="D55" s="6">
        <f t="shared" si="23"/>
        <v>236869.6</v>
      </c>
      <c r="E55" s="6">
        <f t="shared" si="23"/>
        <v>500000</v>
      </c>
      <c r="F55" s="6">
        <f t="shared" si="23"/>
        <v>2250000</v>
      </c>
      <c r="G55" s="6">
        <f t="shared" si="21"/>
        <v>3658958.909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17"/>
      <c r="C56" s="3"/>
      <c r="D56" s="3"/>
      <c r="E56" s="17"/>
      <c r="F56" s="3"/>
      <c r="G56" s="11">
        <f>sum(G52:G55)</f>
        <v>14635835.64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5" t="s">
        <v>73</v>
      </c>
      <c r="B57" s="17"/>
      <c r="C57" s="3"/>
      <c r="D57" s="3"/>
      <c r="E57" s="1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17"/>
      <c r="C58" s="3"/>
      <c r="D58" s="3"/>
      <c r="E58" s="1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8" t="s">
        <v>74</v>
      </c>
      <c r="B59" s="69">
        <v>300000.0</v>
      </c>
      <c r="C59" s="3"/>
      <c r="D59" s="68" t="s">
        <v>75</v>
      </c>
      <c r="E59" s="70">
        <v>6000000.0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17"/>
      <c r="C60" s="3"/>
      <c r="D60" s="3"/>
      <c r="E60" s="71">
        <f>E59/4</f>
        <v>1500000</v>
      </c>
      <c r="F60" s="3" t="s">
        <v>76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17"/>
      <c r="C61" s="3"/>
      <c r="D61" s="3"/>
      <c r="E61" s="1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 t="s">
        <v>77</v>
      </c>
      <c r="B62" s="17"/>
      <c r="C62" s="3"/>
      <c r="D62" s="3"/>
      <c r="E62" s="1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17"/>
      <c r="C63" s="3"/>
      <c r="D63" s="3"/>
      <c r="E63" s="17"/>
      <c r="F63" s="3"/>
      <c r="G63" s="3"/>
      <c r="H63" s="3"/>
      <c r="I63" s="3"/>
      <c r="J63" s="3"/>
      <c r="K63" s="3"/>
      <c r="L63" s="3"/>
      <c r="M63" s="3"/>
      <c r="N63" s="3"/>
      <c r="O63" s="17">
        <f>O70/4</f>
        <v>675000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2" t="s">
        <v>78</v>
      </c>
      <c r="B64" s="17"/>
      <c r="C64" s="3"/>
      <c r="D64" s="3"/>
      <c r="E64" s="17"/>
      <c r="F64" s="3"/>
      <c r="G64" s="3"/>
      <c r="H64" s="72" t="s">
        <v>79</v>
      </c>
      <c r="I64" s="3"/>
      <c r="J64" s="3"/>
      <c r="K64" s="3"/>
      <c r="L64" s="3"/>
      <c r="M64" s="73" t="s">
        <v>80</v>
      </c>
      <c r="N64" s="3"/>
      <c r="O64" s="3"/>
      <c r="P64" s="3"/>
      <c r="Q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81</v>
      </c>
      <c r="B65" s="20" t="s">
        <v>82</v>
      </c>
      <c r="C65" s="4" t="s">
        <v>83</v>
      </c>
      <c r="D65" s="4" t="s">
        <v>82</v>
      </c>
      <c r="E65" s="20" t="s">
        <v>84</v>
      </c>
      <c r="F65" s="74" t="s">
        <v>85</v>
      </c>
      <c r="G65" s="3"/>
      <c r="H65" s="75" t="s">
        <v>86</v>
      </c>
      <c r="I65" s="76" t="s">
        <v>87</v>
      </c>
      <c r="J65" s="76" t="s">
        <v>23</v>
      </c>
      <c r="K65" s="76" t="s">
        <v>88</v>
      </c>
      <c r="L65" s="3"/>
      <c r="M65" s="13" t="s">
        <v>89</v>
      </c>
      <c r="N65" s="13" t="s">
        <v>90</v>
      </c>
      <c r="O65" s="68" t="s">
        <v>15</v>
      </c>
      <c r="P65" s="3"/>
      <c r="Q65" s="68" t="s">
        <v>91</v>
      </c>
      <c r="T65" s="3"/>
      <c r="U65" s="3"/>
      <c r="V65" s="3"/>
      <c r="W65" s="3"/>
      <c r="X65" s="3"/>
      <c r="Y65" s="3"/>
      <c r="Z65" s="3"/>
    </row>
    <row r="66">
      <c r="A66" s="77">
        <v>200.0</v>
      </c>
      <c r="B66" s="6">
        <v>5000.0</v>
      </c>
      <c r="C66" s="78">
        <v>2000.0</v>
      </c>
      <c r="D66" s="6">
        <v>300.0</v>
      </c>
      <c r="E66" s="6">
        <f>(A66*B66+C66*D66)*2</f>
        <v>3200000</v>
      </c>
      <c r="F66" s="6">
        <f>E66*0.05</f>
        <v>160000</v>
      </c>
      <c r="G66" s="3"/>
      <c r="H66" s="78">
        <v>20.0</v>
      </c>
      <c r="I66" s="6">
        <v>15000.0</v>
      </c>
      <c r="J66" s="6">
        <f t="shared" ref="J66:J69" si="24">I66*H66</f>
        <v>300000</v>
      </c>
      <c r="K66" s="6">
        <f t="shared" ref="K66:K69" si="25">0.85*J66</f>
        <v>255000</v>
      </c>
      <c r="L66" s="3"/>
      <c r="M66" s="79">
        <v>3750.0</v>
      </c>
      <c r="N66" s="79">
        <v>2500.0</v>
      </c>
      <c r="O66" s="80">
        <f>O63</f>
        <v>675000</v>
      </c>
      <c r="P66" s="3"/>
      <c r="Q66" s="80">
        <f>sum(K66,O66,F66,E60,B59)</f>
        <v>2890000</v>
      </c>
      <c r="T66" s="3"/>
      <c r="U66" s="3"/>
      <c r="V66" s="3"/>
      <c r="W66" s="3"/>
      <c r="X66" s="3"/>
      <c r="Y66" s="3"/>
      <c r="Z66" s="3"/>
    </row>
    <row r="67">
      <c r="A67" s="81">
        <f>A66+15%*A66</f>
        <v>230</v>
      </c>
      <c r="B67" s="6">
        <v>5500.0</v>
      </c>
      <c r="C67" s="78">
        <f t="shared" ref="C67:C68" si="26">C66+0.15*C66</f>
        <v>2300</v>
      </c>
      <c r="D67" s="6">
        <v>320.0</v>
      </c>
      <c r="E67" s="6">
        <f t="shared" ref="E67:E68" si="27">3*(A67*B67 + C67*D67)</f>
        <v>6003000</v>
      </c>
      <c r="F67" s="6">
        <f t="shared" ref="F67:F69" si="28">0.05*E67</f>
        <v>300150</v>
      </c>
      <c r="G67" s="3"/>
      <c r="H67" s="78">
        <v>30.0</v>
      </c>
      <c r="I67" s="6">
        <v>15500.0</v>
      </c>
      <c r="J67" s="6">
        <f t="shared" si="24"/>
        <v>465000</v>
      </c>
      <c r="K67" s="6">
        <f t="shared" si="25"/>
        <v>395250</v>
      </c>
      <c r="L67" s="3"/>
      <c r="M67" s="79">
        <f t="shared" ref="M67:M69" si="29">M66</f>
        <v>3750</v>
      </c>
      <c r="N67" s="79">
        <v>2500.0</v>
      </c>
      <c r="O67" s="80">
        <f>O63</f>
        <v>675000</v>
      </c>
      <c r="P67" s="3"/>
      <c r="Q67" s="82">
        <f>sum(O67,K67,F67,E60)</f>
        <v>2870400</v>
      </c>
      <c r="T67" s="3"/>
      <c r="U67" s="3"/>
      <c r="V67" s="3"/>
      <c r="W67" s="3"/>
      <c r="X67" s="3"/>
      <c r="Y67" s="3"/>
      <c r="Z67" s="3"/>
    </row>
    <row r="68">
      <c r="A68" s="81">
        <f t="shared" ref="A68:A69" si="30">round(A67+15%*A67,0)</f>
        <v>265</v>
      </c>
      <c r="B68" s="6">
        <v>5500.0</v>
      </c>
      <c r="C68" s="78">
        <f t="shared" si="26"/>
        <v>2645</v>
      </c>
      <c r="D68" s="6">
        <v>340.0</v>
      </c>
      <c r="E68" s="6">
        <f t="shared" si="27"/>
        <v>7070400</v>
      </c>
      <c r="F68" s="6">
        <f t="shared" si="28"/>
        <v>353520</v>
      </c>
      <c r="G68" s="3"/>
      <c r="H68" s="78">
        <v>30.0</v>
      </c>
      <c r="I68" s="6">
        <v>16000.0</v>
      </c>
      <c r="J68" s="6">
        <f t="shared" si="24"/>
        <v>480000</v>
      </c>
      <c r="K68" s="6">
        <f t="shared" si="25"/>
        <v>408000</v>
      </c>
      <c r="L68" s="3"/>
      <c r="M68" s="83">
        <f t="shared" si="29"/>
        <v>3750</v>
      </c>
      <c r="N68" s="79">
        <v>2500.0</v>
      </c>
      <c r="O68" s="80">
        <f>O63</f>
        <v>675000</v>
      </c>
      <c r="P68" s="3"/>
      <c r="Q68" s="82">
        <f>sum(O68,K68,F68,E60)</f>
        <v>2936520</v>
      </c>
      <c r="T68" s="3"/>
      <c r="U68" s="3"/>
      <c r="V68" s="3"/>
      <c r="W68" s="3"/>
      <c r="X68" s="3"/>
      <c r="Y68" s="3"/>
      <c r="Z68" s="3"/>
    </row>
    <row r="69">
      <c r="A69" s="81">
        <f t="shared" si="30"/>
        <v>305</v>
      </c>
      <c r="B69" s="6">
        <v>6000.0</v>
      </c>
      <c r="C69" s="78">
        <v>3042.0</v>
      </c>
      <c r="D69" s="6">
        <v>360.0</v>
      </c>
      <c r="E69" s="6">
        <f>2*(A69*B69 + C69*D69)</f>
        <v>5850240</v>
      </c>
      <c r="F69" s="6">
        <f t="shared" si="28"/>
        <v>292512</v>
      </c>
      <c r="G69" s="3"/>
      <c r="H69" s="78">
        <v>20.0</v>
      </c>
      <c r="I69" s="6">
        <v>16500.0</v>
      </c>
      <c r="J69" s="6">
        <f t="shared" si="24"/>
        <v>330000</v>
      </c>
      <c r="K69" s="6">
        <f t="shared" si="25"/>
        <v>280500</v>
      </c>
      <c r="L69" s="3"/>
      <c r="M69" s="83">
        <f t="shared" si="29"/>
        <v>3750</v>
      </c>
      <c r="N69" s="79">
        <v>2500.0</v>
      </c>
      <c r="O69" s="80">
        <f>O66</f>
        <v>675000</v>
      </c>
      <c r="P69" s="3"/>
      <c r="Q69" s="82">
        <f>sum(O69,K69,F69,H76,E60)</f>
        <v>2748042</v>
      </c>
      <c r="T69" s="3"/>
      <c r="U69" s="3"/>
      <c r="V69" s="3"/>
      <c r="W69" s="3"/>
      <c r="X69" s="3"/>
      <c r="Y69" s="3"/>
      <c r="Z69" s="3"/>
    </row>
    <row r="70">
      <c r="A70" s="3"/>
      <c r="B70" s="17"/>
      <c r="C70" s="3"/>
      <c r="D70" s="3"/>
      <c r="E70" s="17"/>
      <c r="F70" s="84">
        <f>sum(F66:F69)</f>
        <v>1106182</v>
      </c>
      <c r="G70" s="3"/>
      <c r="H70" s="3"/>
      <c r="I70" s="17"/>
      <c r="J70" s="3"/>
      <c r="K70" s="85">
        <f>sum(K66:K69)</f>
        <v>1338750</v>
      </c>
      <c r="L70" s="3"/>
      <c r="M70" s="3"/>
      <c r="N70" s="3"/>
      <c r="O70" s="86">
        <v>2700000.0</v>
      </c>
      <c r="P70" s="3"/>
      <c r="Q70" s="17">
        <f>SUM(Q66:Q69)</f>
        <v>11444962</v>
      </c>
      <c r="T70" s="3"/>
      <c r="U70" s="3"/>
      <c r="V70" s="3"/>
      <c r="W70" s="3"/>
      <c r="X70" s="3"/>
      <c r="Y70" s="3"/>
      <c r="Z70" s="3"/>
    </row>
    <row r="71">
      <c r="A71" s="3"/>
      <c r="B71" s="17"/>
      <c r="C71" s="3"/>
      <c r="D71" s="3"/>
      <c r="E71" s="1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S71" s="3"/>
      <c r="T71" s="3"/>
      <c r="U71" s="3"/>
      <c r="V71" s="3"/>
      <c r="W71" s="3"/>
      <c r="X71" s="3"/>
      <c r="Y71" s="3"/>
      <c r="Z71" s="3"/>
    </row>
    <row r="72">
      <c r="A72" s="72" t="s">
        <v>70</v>
      </c>
      <c r="B72" s="17"/>
      <c r="C72" s="3"/>
      <c r="D72" s="3"/>
      <c r="E72" s="17"/>
      <c r="F72" s="3"/>
      <c r="G72" s="3"/>
      <c r="H72" s="72" t="s">
        <v>70</v>
      </c>
      <c r="I72" s="3"/>
      <c r="J72" s="3"/>
      <c r="K72" s="3"/>
      <c r="L72" s="87"/>
      <c r="M72" s="88" t="s">
        <v>92</v>
      </c>
      <c r="N72" s="3"/>
      <c r="O72" s="3"/>
      <c r="P72" s="3"/>
      <c r="Q72" s="3"/>
      <c r="S72" s="3"/>
      <c r="T72" s="3"/>
      <c r="U72" s="3"/>
      <c r="V72" s="3"/>
      <c r="W72" s="3"/>
      <c r="X72" s="3"/>
      <c r="Y72" s="3"/>
      <c r="Z72" s="3"/>
    </row>
    <row r="73">
      <c r="A73" s="4" t="s">
        <v>81</v>
      </c>
      <c r="B73" s="20" t="s">
        <v>82</v>
      </c>
      <c r="C73" s="4" t="s">
        <v>83</v>
      </c>
      <c r="D73" s="4" t="s">
        <v>82</v>
      </c>
      <c r="E73" s="20" t="s">
        <v>84</v>
      </c>
      <c r="F73" s="74" t="s">
        <v>85</v>
      </c>
      <c r="G73" s="3"/>
      <c r="H73" s="75" t="s">
        <v>86</v>
      </c>
      <c r="I73" s="76" t="s">
        <v>87</v>
      </c>
      <c r="J73" s="76" t="s">
        <v>23</v>
      </c>
      <c r="K73" s="76" t="s">
        <v>88</v>
      </c>
      <c r="L73" s="3"/>
      <c r="M73" s="56" t="s">
        <v>79</v>
      </c>
      <c r="N73" s="3"/>
      <c r="O73" s="3"/>
      <c r="P73" s="3"/>
      <c r="Q73" s="3"/>
      <c r="S73" s="3"/>
      <c r="T73" s="3"/>
      <c r="U73" s="3"/>
      <c r="V73" s="3"/>
      <c r="W73" s="3"/>
      <c r="X73" s="3"/>
      <c r="Y73" s="3"/>
      <c r="Z73" s="3"/>
    </row>
    <row r="74">
      <c r="A74" s="78">
        <v>300.0</v>
      </c>
      <c r="B74" s="6">
        <v>5000.0</v>
      </c>
      <c r="C74" s="78">
        <v>2560.0</v>
      </c>
      <c r="D74" s="6">
        <v>300.0</v>
      </c>
      <c r="E74" s="6">
        <f>(A74*B74+C74*D74)*2</f>
        <v>4536000</v>
      </c>
      <c r="F74" s="6">
        <f>E74*0.05</f>
        <v>226800</v>
      </c>
      <c r="G74" s="3"/>
      <c r="H74" s="78">
        <v>20.0</v>
      </c>
      <c r="I74" s="6">
        <v>15000.0</v>
      </c>
      <c r="J74" s="6">
        <f t="shared" ref="J74:J77" si="31">I74*H74</f>
        <v>300000</v>
      </c>
      <c r="K74" s="6">
        <f t="shared" ref="K74:K77" si="32">0.85*J74</f>
        <v>255000</v>
      </c>
      <c r="L74" s="3"/>
      <c r="M74" s="89" t="s">
        <v>93</v>
      </c>
      <c r="N74" s="89" t="s">
        <v>94</v>
      </c>
      <c r="O74" s="89" t="s">
        <v>95</v>
      </c>
      <c r="P74" s="89" t="s">
        <v>96</v>
      </c>
      <c r="Q74" s="3"/>
      <c r="R74" s="41" t="s">
        <v>91</v>
      </c>
      <c r="S74" s="3"/>
      <c r="T74" s="3"/>
      <c r="U74" s="3"/>
      <c r="V74" s="3"/>
      <c r="W74" s="3"/>
      <c r="X74" s="3"/>
      <c r="Y74" s="3"/>
      <c r="Z74" s="3"/>
    </row>
    <row r="75">
      <c r="A75" s="78">
        <f>A74+15%*A74</f>
        <v>345</v>
      </c>
      <c r="B75" s="6">
        <v>5500.0</v>
      </c>
      <c r="C75" s="78">
        <v>3200.0</v>
      </c>
      <c r="D75" s="6">
        <v>320.0</v>
      </c>
      <c r="E75" s="6">
        <f t="shared" ref="E75:E76" si="33">3*(A75*B75 + C75*D75)</f>
        <v>8764500</v>
      </c>
      <c r="F75" s="6">
        <f t="shared" ref="F75:F77" si="34">0.05*E75</f>
        <v>438225</v>
      </c>
      <c r="G75" s="3"/>
      <c r="H75" s="78">
        <v>30.0</v>
      </c>
      <c r="I75" s="6">
        <v>15500.0</v>
      </c>
      <c r="J75" s="6">
        <f t="shared" si="31"/>
        <v>465000</v>
      </c>
      <c r="K75" s="6">
        <f t="shared" si="32"/>
        <v>395250</v>
      </c>
      <c r="L75" s="3"/>
      <c r="M75" s="90">
        <v>3500.0</v>
      </c>
      <c r="N75" s="33">
        <v>3200.0</v>
      </c>
      <c r="O75" s="90">
        <v>400.0</v>
      </c>
      <c r="P75" s="33">
        <v>1547800.0</v>
      </c>
      <c r="Q75" s="3"/>
      <c r="R75" s="91">
        <f>3604600+250000</f>
        <v>3854600</v>
      </c>
      <c r="S75" s="3"/>
      <c r="T75" s="3"/>
      <c r="U75" s="3"/>
      <c r="V75" s="3"/>
      <c r="W75" s="3"/>
      <c r="X75" s="3"/>
      <c r="Y75" s="3"/>
      <c r="Z75" s="3"/>
    </row>
    <row r="76">
      <c r="A76" s="78">
        <f t="shared" ref="A76:A77" si="35">round(A75+15%*A75,0)</f>
        <v>397</v>
      </c>
      <c r="B76" s="6">
        <v>5500.0</v>
      </c>
      <c r="C76" s="78">
        <v>4000.0</v>
      </c>
      <c r="D76" s="6">
        <v>340.0</v>
      </c>
      <c r="E76" s="6">
        <f t="shared" si="33"/>
        <v>10630500</v>
      </c>
      <c r="F76" s="6">
        <f t="shared" si="34"/>
        <v>531525</v>
      </c>
      <c r="G76" s="3"/>
      <c r="H76" s="78">
        <v>30.0</v>
      </c>
      <c r="I76" s="6">
        <v>16000.0</v>
      </c>
      <c r="J76" s="6">
        <f t="shared" si="31"/>
        <v>480000</v>
      </c>
      <c r="K76" s="6">
        <f t="shared" si="32"/>
        <v>408000</v>
      </c>
      <c r="L76" s="3"/>
      <c r="M76" s="90">
        <v>4200.0</v>
      </c>
      <c r="N76" s="33">
        <v>4000.0</v>
      </c>
      <c r="O76" s="90">
        <v>430.0</v>
      </c>
      <c r="P76" s="33">
        <v>2803110.0</v>
      </c>
      <c r="Q76" s="3"/>
      <c r="R76" s="91">
        <f>5211585+250000</f>
        <v>5461585</v>
      </c>
      <c r="S76" s="3"/>
      <c r="T76" s="3"/>
      <c r="U76" s="3"/>
      <c r="V76" s="3"/>
      <c r="W76" s="3"/>
      <c r="X76" s="3"/>
      <c r="Y76" s="3"/>
      <c r="Z76" s="3"/>
    </row>
    <row r="77">
      <c r="A77" s="78">
        <f t="shared" si="35"/>
        <v>457</v>
      </c>
      <c r="B77" s="6">
        <v>6000.0</v>
      </c>
      <c r="C77" s="78">
        <v>5000.0</v>
      </c>
      <c r="D77" s="6">
        <v>360.0</v>
      </c>
      <c r="E77" s="6">
        <f>2*(A77*B77 + C77*D77)</f>
        <v>9084000</v>
      </c>
      <c r="F77" s="6">
        <f t="shared" si="34"/>
        <v>454200</v>
      </c>
      <c r="G77" s="3"/>
      <c r="H77" s="78">
        <v>20.0</v>
      </c>
      <c r="I77" s="6">
        <v>16500.0</v>
      </c>
      <c r="J77" s="6">
        <f t="shared" si="31"/>
        <v>330000</v>
      </c>
      <c r="K77" s="6">
        <f t="shared" si="32"/>
        <v>280500</v>
      </c>
      <c r="L77" s="3"/>
      <c r="M77" s="90">
        <v>5040.0</v>
      </c>
      <c r="N77" s="33">
        <v>5000.0</v>
      </c>
      <c r="O77" s="90">
        <v>460.0</v>
      </c>
      <c r="P77" s="33">
        <v>3390900.0</v>
      </c>
      <c r="Q77" s="3"/>
      <c r="R77" s="91">
        <f>5905425+250000</f>
        <v>6155425</v>
      </c>
      <c r="S77" s="3"/>
      <c r="T77" s="3"/>
      <c r="U77" s="3"/>
      <c r="V77" s="3"/>
      <c r="W77" s="3"/>
      <c r="X77" s="3"/>
      <c r="Y77" s="3"/>
      <c r="Z77" s="3"/>
    </row>
    <row r="78">
      <c r="A78" s="3"/>
      <c r="B78" s="17"/>
      <c r="C78" s="3"/>
      <c r="D78" s="3"/>
      <c r="E78" s="17"/>
      <c r="F78" s="85">
        <f>sum(F74:F77)</f>
        <v>1650750</v>
      </c>
      <c r="G78" s="3"/>
      <c r="H78" s="3"/>
      <c r="I78" s="17"/>
      <c r="J78" s="3"/>
      <c r="K78" s="85">
        <f>sum(K74:K77)</f>
        <v>1338750</v>
      </c>
      <c r="L78" s="3"/>
      <c r="M78" s="90">
        <v>6000.0</v>
      </c>
      <c r="N78" s="33">
        <v>6250.0</v>
      </c>
      <c r="O78" s="90">
        <v>500.0</v>
      </c>
      <c r="P78" s="33">
        <v>2739500.0</v>
      </c>
      <c r="Q78" s="3"/>
      <c r="R78" s="91">
        <f>5049200+250000</f>
        <v>5299200</v>
      </c>
      <c r="S78" s="3"/>
      <c r="T78" s="3"/>
      <c r="U78" s="3"/>
      <c r="V78" s="3"/>
      <c r="W78" s="3"/>
      <c r="X78" s="3"/>
      <c r="Y78" s="3"/>
      <c r="Z78" s="3"/>
    </row>
    <row r="79">
      <c r="A79" s="3"/>
      <c r="B79" s="17"/>
      <c r="C79" s="3"/>
      <c r="D79" s="3"/>
      <c r="E79" s="17"/>
      <c r="F79" s="3"/>
      <c r="G79" s="3"/>
      <c r="P79" s="92">
        <v>1.048131E7</v>
      </c>
      <c r="Q79" s="3"/>
      <c r="R79" s="91">
        <f>sum(R75:R78)</f>
        <v>20770810</v>
      </c>
      <c r="S79" s="3"/>
      <c r="T79" s="3"/>
      <c r="U79" s="3"/>
      <c r="V79" s="3"/>
      <c r="W79" s="3"/>
      <c r="X79" s="3"/>
      <c r="Y79" s="3"/>
      <c r="Z79" s="3"/>
    </row>
    <row r="80">
      <c r="A80" s="72" t="s">
        <v>71</v>
      </c>
      <c r="B80" s="17"/>
      <c r="C80" s="3"/>
      <c r="D80" s="3"/>
      <c r="E80" s="17"/>
      <c r="F80" s="3"/>
      <c r="G80" s="3"/>
      <c r="H80" s="72" t="s">
        <v>71</v>
      </c>
      <c r="I80" s="3"/>
      <c r="J80" s="3"/>
      <c r="K80" s="3"/>
      <c r="L80" s="3"/>
      <c r="M80" s="72" t="s">
        <v>71</v>
      </c>
      <c r="N80" s="3"/>
      <c r="O80" s="3"/>
      <c r="P80" s="3"/>
      <c r="Q80" s="3"/>
      <c r="S80" s="3"/>
      <c r="T80" s="3"/>
      <c r="U80" s="3"/>
      <c r="V80" s="3"/>
      <c r="W80" s="3"/>
      <c r="X80" s="3"/>
      <c r="Y80" s="3"/>
      <c r="Z80" s="3"/>
    </row>
    <row r="81">
      <c r="A81" s="4" t="s">
        <v>81</v>
      </c>
      <c r="B81" s="20" t="s">
        <v>82</v>
      </c>
      <c r="C81" s="4" t="s">
        <v>83</v>
      </c>
      <c r="D81" s="4" t="s">
        <v>82</v>
      </c>
      <c r="E81" s="20" t="s">
        <v>84</v>
      </c>
      <c r="F81" s="74" t="s">
        <v>85</v>
      </c>
      <c r="G81" s="3"/>
      <c r="H81" s="76" t="s">
        <v>86</v>
      </c>
      <c r="I81" s="76" t="s">
        <v>87</v>
      </c>
      <c r="J81" s="76" t="s">
        <v>23</v>
      </c>
      <c r="K81" s="76" t="s">
        <v>88</v>
      </c>
      <c r="L81" s="3"/>
      <c r="M81" s="76" t="s">
        <v>93</v>
      </c>
      <c r="N81" s="76" t="s">
        <v>94</v>
      </c>
      <c r="O81" s="76" t="s">
        <v>95</v>
      </c>
      <c r="P81" s="93" t="s">
        <v>96</v>
      </c>
      <c r="R81" s="41" t="s">
        <v>91</v>
      </c>
      <c r="T81" s="3"/>
      <c r="U81" s="3"/>
      <c r="V81" s="3"/>
      <c r="W81" s="3"/>
      <c r="X81" s="3"/>
      <c r="Y81" s="3"/>
      <c r="Z81" s="3"/>
    </row>
    <row r="82">
      <c r="A82" s="78">
        <v>450.0</v>
      </c>
      <c r="B82" s="6">
        <v>6000.0</v>
      </c>
      <c r="C82" s="78">
        <v>4800.0</v>
      </c>
      <c r="D82" s="6">
        <v>360.0</v>
      </c>
      <c r="E82" s="6">
        <f>(A82*B82+C82*D82)*2</f>
        <v>8856000</v>
      </c>
      <c r="F82" s="6">
        <f t="shared" ref="F82:F85" si="36">E82*0.05</f>
        <v>442800</v>
      </c>
      <c r="G82" s="3"/>
      <c r="H82" s="78">
        <v>20.0</v>
      </c>
      <c r="I82" s="6">
        <v>17000.0</v>
      </c>
      <c r="J82" s="6">
        <f t="shared" ref="J82:J85" si="37">I82*H82</f>
        <v>340000</v>
      </c>
      <c r="K82" s="6">
        <f t="shared" ref="K82:K85" si="38">0.85*J82</f>
        <v>289000</v>
      </c>
      <c r="L82" s="3"/>
      <c r="M82" s="78">
        <v>6000.0</v>
      </c>
      <c r="N82" s="78">
        <v>6000.0</v>
      </c>
      <c r="O82" s="78">
        <v>460.0</v>
      </c>
      <c r="P82" s="6">
        <f>((M82*69)+(N82*129)+(O82*299))*2</f>
        <v>2651080</v>
      </c>
      <c r="Q82" s="3"/>
      <c r="R82" s="91">
        <v>5457880.0</v>
      </c>
      <c r="S82" s="3"/>
      <c r="T82" s="3"/>
      <c r="U82" s="3"/>
      <c r="V82" s="3"/>
      <c r="W82" s="3"/>
      <c r="X82" s="3"/>
      <c r="Y82" s="3"/>
      <c r="Z82" s="3"/>
    </row>
    <row r="83">
      <c r="A83" s="78">
        <v>460.0</v>
      </c>
      <c r="B83" s="6">
        <v>6500.0</v>
      </c>
      <c r="C83" s="78">
        <v>5760.0</v>
      </c>
      <c r="D83" s="6">
        <v>380.0</v>
      </c>
      <c r="E83" s="6">
        <f t="shared" ref="E83:E84" si="39">(A83*B83+C83*D83)*3</f>
        <v>15536400</v>
      </c>
      <c r="F83" s="6">
        <f t="shared" si="36"/>
        <v>776820</v>
      </c>
      <c r="G83" s="3"/>
      <c r="H83" s="78">
        <v>30.0</v>
      </c>
      <c r="I83" s="6">
        <v>17500.0</v>
      </c>
      <c r="J83" s="6">
        <f t="shared" si="37"/>
        <v>525000</v>
      </c>
      <c r="K83" s="6">
        <f t="shared" si="38"/>
        <v>446250</v>
      </c>
      <c r="L83" s="3"/>
      <c r="M83" s="78">
        <f t="shared" ref="M83:M84" si="40">M82+M82*0.2</f>
        <v>7200</v>
      </c>
      <c r="N83" s="78">
        <f>N82+0.2*N82</f>
        <v>7200</v>
      </c>
      <c r="O83" s="78">
        <v>480.0</v>
      </c>
      <c r="P83" s="6">
        <f t="shared" ref="P83:P84" si="41">((M83*69)+(N83*129)+(O83*299))*3</f>
        <v>4707360</v>
      </c>
      <c r="Q83" s="3"/>
      <c r="R83" s="91">
        <v>8005430.0</v>
      </c>
      <c r="S83" s="3"/>
      <c r="T83" s="3"/>
      <c r="U83" s="3"/>
      <c r="V83" s="3"/>
      <c r="W83" s="3"/>
      <c r="X83" s="3"/>
      <c r="Y83" s="3"/>
      <c r="Z83" s="3"/>
    </row>
    <row r="84">
      <c r="A84" s="78">
        <v>470.0</v>
      </c>
      <c r="B84" s="6">
        <v>6500.0</v>
      </c>
      <c r="C84" s="78">
        <v>6400.0</v>
      </c>
      <c r="D84" s="6">
        <v>400.0</v>
      </c>
      <c r="E84" s="6">
        <f t="shared" si="39"/>
        <v>16845000</v>
      </c>
      <c r="F84" s="6">
        <f t="shared" si="36"/>
        <v>842250</v>
      </c>
      <c r="G84" s="3"/>
      <c r="H84" s="78">
        <v>30.0</v>
      </c>
      <c r="I84" s="6">
        <v>18000.0</v>
      </c>
      <c r="J84" s="6">
        <f t="shared" si="37"/>
        <v>540000</v>
      </c>
      <c r="K84" s="6">
        <f t="shared" si="38"/>
        <v>459000</v>
      </c>
      <c r="L84" s="3"/>
      <c r="M84" s="78">
        <f t="shared" si="40"/>
        <v>8640</v>
      </c>
      <c r="N84" s="78">
        <v>8000.0</v>
      </c>
      <c r="O84" s="78">
        <v>500.0</v>
      </c>
      <c r="P84" s="6">
        <f t="shared" si="41"/>
        <v>5332980</v>
      </c>
      <c r="Q84" s="3"/>
      <c r="R84" s="91">
        <v>8709230.0</v>
      </c>
      <c r="S84" s="3"/>
      <c r="T84" s="3"/>
      <c r="U84" s="3"/>
      <c r="V84" s="3"/>
      <c r="W84" s="3"/>
      <c r="X84" s="3"/>
      <c r="Y84" s="3"/>
      <c r="Z84" s="3"/>
    </row>
    <row r="85">
      <c r="A85" s="78">
        <v>480.0</v>
      </c>
      <c r="B85" s="6">
        <v>6500.0</v>
      </c>
      <c r="C85" s="78">
        <v>6400.0</v>
      </c>
      <c r="D85" s="6">
        <v>420.0</v>
      </c>
      <c r="E85" s="6">
        <f>(A85*B85+C85*D85)*2</f>
        <v>11616000</v>
      </c>
      <c r="F85" s="6">
        <f t="shared" si="36"/>
        <v>580800</v>
      </c>
      <c r="G85" s="3"/>
      <c r="H85" s="78">
        <v>20.0</v>
      </c>
      <c r="I85" s="6">
        <v>18500.0</v>
      </c>
      <c r="J85" s="6">
        <f t="shared" si="37"/>
        <v>370000</v>
      </c>
      <c r="K85" s="6">
        <f t="shared" si="38"/>
        <v>314500</v>
      </c>
      <c r="L85" s="3"/>
      <c r="M85" s="78">
        <v>10000.0</v>
      </c>
      <c r="N85" s="78">
        <v>8000.0</v>
      </c>
      <c r="O85" s="78">
        <v>500.0</v>
      </c>
      <c r="P85" s="6">
        <f>((M85*69)+(N85*129)+(O85*299))*2</f>
        <v>3743000</v>
      </c>
      <c r="Q85" s="3"/>
      <c r="R85" s="91">
        <v>6713300.0</v>
      </c>
      <c r="S85" s="3"/>
      <c r="T85" s="3"/>
      <c r="U85" s="3"/>
      <c r="V85" s="3"/>
      <c r="W85" s="3"/>
      <c r="X85" s="3"/>
      <c r="Y85" s="3"/>
      <c r="Z85" s="3"/>
    </row>
    <row r="86">
      <c r="A86" s="3"/>
      <c r="B86" s="17"/>
      <c r="C86" s="3"/>
      <c r="D86" s="3"/>
      <c r="E86" s="94"/>
      <c r="F86" s="85">
        <f>sum(F82:F85)</f>
        <v>2642670</v>
      </c>
      <c r="G86" s="3"/>
      <c r="H86" s="3"/>
      <c r="I86" s="17"/>
      <c r="J86" s="3"/>
      <c r="K86" s="85">
        <f>sum(K82:K85)</f>
        <v>1508750</v>
      </c>
      <c r="L86" s="3"/>
      <c r="M86" s="3"/>
      <c r="N86" s="3"/>
      <c r="O86" s="3"/>
      <c r="P86" s="85">
        <f>sum(P82:P85)</f>
        <v>16434420</v>
      </c>
      <c r="Q86" s="3"/>
      <c r="R86" s="91">
        <v>2.888584E7</v>
      </c>
      <c r="S86" s="3"/>
      <c r="T86" s="3"/>
      <c r="U86" s="3"/>
      <c r="V86" s="3"/>
      <c r="W86" s="3"/>
      <c r="X86" s="3"/>
      <c r="Y86" s="3"/>
      <c r="Z86" s="3"/>
    </row>
    <row r="87">
      <c r="A87" s="3"/>
      <c r="B87" s="17"/>
      <c r="C87" s="3"/>
      <c r="D87" s="3"/>
      <c r="E87" s="94"/>
      <c r="F87" s="9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S87" s="3"/>
      <c r="T87" s="3"/>
      <c r="U87" s="3"/>
      <c r="V87" s="3"/>
      <c r="W87" s="3"/>
      <c r="X87" s="3"/>
      <c r="Y87" s="3"/>
      <c r="Z87" s="3"/>
    </row>
    <row r="88">
      <c r="A88" s="72" t="s">
        <v>72</v>
      </c>
      <c r="B88" s="17"/>
      <c r="C88" s="3"/>
      <c r="D88" s="3"/>
      <c r="E88" s="17"/>
      <c r="F88" s="3"/>
      <c r="G88" s="3"/>
      <c r="H88" s="72" t="s">
        <v>72</v>
      </c>
      <c r="I88" s="3"/>
      <c r="J88" s="3"/>
      <c r="K88" s="3"/>
      <c r="L88" s="3"/>
      <c r="M88" s="72" t="s">
        <v>72</v>
      </c>
      <c r="N88" s="3"/>
      <c r="O88" s="3"/>
      <c r="P88" s="3"/>
      <c r="Q88" s="3"/>
      <c r="S88" s="3"/>
      <c r="T88" s="3"/>
      <c r="U88" s="3"/>
      <c r="V88" s="3"/>
      <c r="W88" s="3"/>
      <c r="X88" s="3"/>
      <c r="Y88" s="3"/>
      <c r="Z88" s="3"/>
    </row>
    <row r="89">
      <c r="A89" s="4" t="s">
        <v>81</v>
      </c>
      <c r="B89" s="20" t="s">
        <v>82</v>
      </c>
      <c r="C89" s="4" t="s">
        <v>83</v>
      </c>
      <c r="D89" s="4" t="s">
        <v>82</v>
      </c>
      <c r="E89" s="20" t="s">
        <v>84</v>
      </c>
      <c r="F89" s="74" t="s">
        <v>85</v>
      </c>
      <c r="G89" s="3"/>
      <c r="H89" s="76" t="s">
        <v>86</v>
      </c>
      <c r="I89" s="76" t="s">
        <v>87</v>
      </c>
      <c r="J89" s="76" t="s">
        <v>23</v>
      </c>
      <c r="K89" s="76" t="s">
        <v>88</v>
      </c>
      <c r="L89" s="3"/>
      <c r="M89" s="76" t="s">
        <v>93</v>
      </c>
      <c r="N89" s="76" t="s">
        <v>94</v>
      </c>
      <c r="O89" s="76" t="s">
        <v>95</v>
      </c>
      <c r="P89" s="93" t="s">
        <v>96</v>
      </c>
      <c r="Q89" s="3"/>
      <c r="R89" s="41" t="s">
        <v>91</v>
      </c>
      <c r="S89" s="3"/>
      <c r="T89" s="3"/>
      <c r="U89" s="3"/>
      <c r="V89" s="3"/>
      <c r="W89" s="3"/>
      <c r="X89" s="3"/>
      <c r="Y89" s="3"/>
      <c r="Z89" s="3"/>
    </row>
    <row r="90">
      <c r="A90" s="78">
        <v>490.0</v>
      </c>
      <c r="B90" s="6">
        <v>7000.0</v>
      </c>
      <c r="C90" s="78">
        <v>6400.0</v>
      </c>
      <c r="D90" s="6">
        <v>440.0</v>
      </c>
      <c r="E90" s="6">
        <f>(A90*B90+C90*D90)*2</f>
        <v>12492000</v>
      </c>
      <c r="F90" s="6">
        <f t="shared" ref="F90:F93" si="42">E90*0.05</f>
        <v>624600</v>
      </c>
      <c r="G90" s="3"/>
      <c r="H90" s="78">
        <v>20.0</v>
      </c>
      <c r="I90" s="6">
        <v>19000.0</v>
      </c>
      <c r="J90" s="6">
        <f t="shared" ref="J90:J93" si="43">I90*H90</f>
        <v>380000</v>
      </c>
      <c r="K90" s="6">
        <f t="shared" ref="K90:K93" si="44">0.85*J90</f>
        <v>323000</v>
      </c>
      <c r="L90" s="3"/>
      <c r="M90" s="78">
        <v>10000.0</v>
      </c>
      <c r="N90" s="78">
        <v>8000.0</v>
      </c>
      <c r="O90" s="78">
        <v>500.0</v>
      </c>
      <c r="P90" s="6">
        <f>((M90*69)+(N90*129)+(O90*299))*2</f>
        <v>3743000</v>
      </c>
      <c r="Q90" s="3"/>
      <c r="R90" s="91">
        <v>7265600.0</v>
      </c>
      <c r="S90" s="3"/>
      <c r="T90" s="3"/>
      <c r="U90" s="3"/>
      <c r="V90" s="3"/>
      <c r="W90" s="3"/>
      <c r="X90" s="3"/>
      <c r="Y90" s="3"/>
      <c r="Z90" s="3"/>
    </row>
    <row r="91">
      <c r="A91" s="78">
        <v>490.0</v>
      </c>
      <c r="B91" s="6">
        <v>7000.0</v>
      </c>
      <c r="C91" s="78">
        <v>6400.0</v>
      </c>
      <c r="D91" s="6">
        <v>460.0</v>
      </c>
      <c r="E91" s="6">
        <f t="shared" ref="E91:E92" si="45">(A91*B91+C91*D91)*3</f>
        <v>19122000</v>
      </c>
      <c r="F91" s="6">
        <f t="shared" si="42"/>
        <v>956100</v>
      </c>
      <c r="G91" s="3"/>
      <c r="H91" s="78">
        <v>30.0</v>
      </c>
      <c r="I91" s="6">
        <v>19500.0</v>
      </c>
      <c r="J91" s="6">
        <f t="shared" si="43"/>
        <v>585000</v>
      </c>
      <c r="K91" s="6">
        <f t="shared" si="44"/>
        <v>497250</v>
      </c>
      <c r="L91" s="3"/>
      <c r="M91" s="78">
        <v>10000.0</v>
      </c>
      <c r="N91" s="78">
        <v>8000.0</v>
      </c>
      <c r="O91" s="78">
        <v>500.0</v>
      </c>
      <c r="P91" s="6">
        <f t="shared" ref="P91:P92" si="46">((M91*69)+(N91*129)+(O91*299))*3</f>
        <v>5614500</v>
      </c>
      <c r="Q91" s="3"/>
      <c r="R91" s="91">
        <v>9642850.0</v>
      </c>
      <c r="S91" s="3"/>
      <c r="T91" s="3"/>
      <c r="U91" s="3"/>
      <c r="V91" s="3"/>
      <c r="W91" s="3"/>
      <c r="X91" s="3"/>
      <c r="Y91" s="3"/>
      <c r="Z91" s="3"/>
    </row>
    <row r="92">
      <c r="A92" s="78">
        <v>490.0</v>
      </c>
      <c r="B92" s="6">
        <v>7500.0</v>
      </c>
      <c r="C92" s="78">
        <v>6400.0</v>
      </c>
      <c r="D92" s="6">
        <v>480.0</v>
      </c>
      <c r="E92" s="6">
        <f t="shared" si="45"/>
        <v>20241000</v>
      </c>
      <c r="F92" s="6">
        <f t="shared" si="42"/>
        <v>1012050</v>
      </c>
      <c r="G92" s="3"/>
      <c r="H92" s="78">
        <v>30.0</v>
      </c>
      <c r="I92" s="6">
        <v>20000.0</v>
      </c>
      <c r="J92" s="6">
        <f t="shared" si="43"/>
        <v>600000</v>
      </c>
      <c r="K92" s="6">
        <f t="shared" si="44"/>
        <v>510000</v>
      </c>
      <c r="L92" s="3"/>
      <c r="M92" s="78">
        <v>10000.0</v>
      </c>
      <c r="N92" s="78">
        <v>8000.0</v>
      </c>
      <c r="O92" s="78">
        <v>500.0</v>
      </c>
      <c r="P92" s="6">
        <f t="shared" si="46"/>
        <v>5614500</v>
      </c>
      <c r="Q92" s="3"/>
      <c r="R92" s="91">
        <v>9711550.0</v>
      </c>
      <c r="S92" s="3"/>
      <c r="T92" s="3"/>
      <c r="U92" s="3"/>
      <c r="V92" s="3"/>
      <c r="W92" s="3"/>
      <c r="X92" s="3"/>
      <c r="Y92" s="3"/>
      <c r="Z92" s="3"/>
    </row>
    <row r="93">
      <c r="A93" s="78">
        <v>490.0</v>
      </c>
      <c r="B93" s="6">
        <v>7500.0</v>
      </c>
      <c r="C93" s="78">
        <v>6400.0</v>
      </c>
      <c r="D93" s="6">
        <v>500.0</v>
      </c>
      <c r="E93" s="6">
        <f>(A93*B93+C93*D93)*2</f>
        <v>13750000</v>
      </c>
      <c r="F93" s="6">
        <f t="shared" si="42"/>
        <v>687500</v>
      </c>
      <c r="G93" s="3"/>
      <c r="H93" s="78">
        <v>20.0</v>
      </c>
      <c r="I93" s="6">
        <v>20500.0</v>
      </c>
      <c r="J93" s="6">
        <f t="shared" si="43"/>
        <v>410000</v>
      </c>
      <c r="K93" s="6">
        <f t="shared" si="44"/>
        <v>348500</v>
      </c>
      <c r="L93" s="3"/>
      <c r="M93" s="78">
        <v>10000.0</v>
      </c>
      <c r="N93" s="78">
        <v>8000.0</v>
      </c>
      <c r="O93" s="78">
        <v>500.0</v>
      </c>
      <c r="P93" s="6">
        <f>((M93*69)+(N93*129)+(O93*299))*2</f>
        <v>3743000</v>
      </c>
      <c r="Q93" s="3"/>
      <c r="R93" s="91">
        <v>7354000.0</v>
      </c>
      <c r="S93" s="3"/>
      <c r="T93" s="3"/>
      <c r="U93" s="3"/>
      <c r="V93" s="3"/>
      <c r="W93" s="3"/>
      <c r="X93" s="3"/>
      <c r="Y93" s="3"/>
      <c r="Z93" s="3"/>
    </row>
    <row r="94">
      <c r="A94" s="3"/>
      <c r="B94" s="17"/>
      <c r="C94" s="3"/>
      <c r="D94" s="3"/>
      <c r="E94" s="17"/>
      <c r="F94" s="85">
        <f>sum(F90:F93)</f>
        <v>3280250</v>
      </c>
      <c r="G94" s="3"/>
      <c r="H94" s="3"/>
      <c r="I94" s="17"/>
      <c r="J94" s="3"/>
      <c r="K94" s="85">
        <f>sum(K90:K93)</f>
        <v>1678750</v>
      </c>
      <c r="L94" s="3"/>
      <c r="M94" s="3"/>
      <c r="N94" s="3"/>
      <c r="O94" s="3"/>
      <c r="P94" s="85">
        <f>sum(P90:P93)</f>
        <v>18715000</v>
      </c>
      <c r="Q94" s="3"/>
      <c r="R94" s="91">
        <v>3.3974E7</v>
      </c>
      <c r="S94" s="3"/>
      <c r="T94" s="3"/>
      <c r="U94" s="3"/>
      <c r="V94" s="3"/>
      <c r="W94" s="3"/>
      <c r="X94" s="3"/>
      <c r="Y94" s="3"/>
      <c r="Z94" s="3"/>
    </row>
    <row r="95">
      <c r="A95" s="3"/>
      <c r="B95" s="17"/>
      <c r="C95" s="3"/>
      <c r="D95" s="3"/>
      <c r="E95" s="1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S95" s="3"/>
      <c r="T95" s="3"/>
      <c r="U95" s="3"/>
      <c r="V95" s="3"/>
      <c r="W95" s="3"/>
      <c r="X95" s="3"/>
      <c r="Y95" s="3"/>
      <c r="Z95" s="3"/>
    </row>
    <row r="96">
      <c r="Q96" s="3"/>
      <c r="S96" s="3"/>
      <c r="T96" s="3"/>
      <c r="U96" s="3"/>
      <c r="V96" s="3"/>
      <c r="W96" s="3"/>
      <c r="X96" s="3"/>
      <c r="Y96" s="3"/>
      <c r="Z96" s="3"/>
    </row>
    <row r="97">
      <c r="Q97" s="3"/>
      <c r="S97" s="3"/>
      <c r="T97" s="3"/>
      <c r="U97" s="3"/>
      <c r="V97" s="3"/>
      <c r="W97" s="3"/>
      <c r="X97" s="3"/>
      <c r="Y97" s="3"/>
      <c r="Z97" s="3"/>
    </row>
    <row r="98">
      <c r="S98" s="3"/>
      <c r="T98" s="3"/>
      <c r="U98" s="3"/>
      <c r="V98" s="3"/>
      <c r="W98" s="3"/>
      <c r="X98" s="3"/>
      <c r="Y98" s="3"/>
      <c r="Z98" s="3"/>
    </row>
    <row r="99">
      <c r="H99" s="95">
        <v>1.0E7</v>
      </c>
      <c r="S99" s="3"/>
      <c r="T99" s="3"/>
      <c r="U99" s="3"/>
      <c r="V99" s="3"/>
      <c r="W99" s="3"/>
      <c r="X99" s="3"/>
      <c r="Y99" s="3"/>
      <c r="Z99" s="3"/>
    </row>
    <row r="100">
      <c r="S100" s="3"/>
      <c r="T100" s="3"/>
      <c r="U100" s="3"/>
      <c r="V100" s="3"/>
      <c r="W100" s="3"/>
      <c r="X100" s="3"/>
      <c r="Y100" s="3"/>
      <c r="Z100" s="3"/>
    </row>
    <row r="101">
      <c r="A101" s="55" t="s">
        <v>97</v>
      </c>
      <c r="B101" s="17"/>
      <c r="C101" s="3"/>
      <c r="D101" s="3"/>
      <c r="E101" s="1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9" t="s">
        <v>98</v>
      </c>
      <c r="B102" s="96" t="s">
        <v>99</v>
      </c>
      <c r="C102" s="57" t="s">
        <v>100</v>
      </c>
      <c r="D102" s="97" t="s">
        <v>91</v>
      </c>
      <c r="E102" s="96" t="s">
        <v>101</v>
      </c>
      <c r="F102" s="97" t="s">
        <v>102</v>
      </c>
      <c r="G102" s="97" t="s">
        <v>103</v>
      </c>
      <c r="H102" s="3"/>
      <c r="I102" s="97"/>
      <c r="J102" s="97" t="s">
        <v>104</v>
      </c>
      <c r="K102" s="98" t="s">
        <v>105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99"/>
      <c r="B103" s="99"/>
      <c r="C103" s="78">
        <v>0.0</v>
      </c>
      <c r="D103" s="16">
        <v>0.0</v>
      </c>
      <c r="E103" s="16">
        <v>50000.0</v>
      </c>
      <c r="F103" s="100">
        <f t="shared" ref="F103:F112" si="47">E103</f>
        <v>50000</v>
      </c>
      <c r="G103" s="100">
        <f t="shared" ref="G103:G127" si="48">D103-F103</f>
        <v>-50000</v>
      </c>
      <c r="H103" s="3"/>
      <c r="I103" s="15" t="s">
        <v>106</v>
      </c>
      <c r="J103" s="101">
        <f>(G107*0.3-H99)/H99</f>
        <v>-1.093965575</v>
      </c>
      <c r="K103" s="98">
        <v>1.0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6">
        <f t="shared" ref="A104:A107" si="49">Q66</f>
        <v>2890000</v>
      </c>
      <c r="B104" s="100">
        <v>3631786.96</v>
      </c>
      <c r="C104" s="78">
        <v>1.0</v>
      </c>
      <c r="D104" s="100">
        <f>A104</f>
        <v>2890000</v>
      </c>
      <c r="E104" s="100">
        <f>E103+B104</f>
        <v>3681786.96</v>
      </c>
      <c r="F104" s="100">
        <f t="shared" si="47"/>
        <v>3681786.96</v>
      </c>
      <c r="G104" s="100">
        <f t="shared" si="48"/>
        <v>-791786.96</v>
      </c>
      <c r="H104" s="3"/>
      <c r="I104" s="15" t="s">
        <v>107</v>
      </c>
      <c r="J104" s="101">
        <f>(G111*0.3-H99)/H99</f>
        <v>-1.05598596</v>
      </c>
      <c r="K104" s="98">
        <v>2.0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6">
        <f t="shared" si="49"/>
        <v>2870400</v>
      </c>
      <c r="B105" s="100">
        <v>3631786.96</v>
      </c>
      <c r="C105" s="78">
        <v>2.0</v>
      </c>
      <c r="D105" s="100">
        <f t="shared" ref="D105:E105" si="50">D104+A105</f>
        <v>5760400</v>
      </c>
      <c r="E105" s="100">
        <f t="shared" si="50"/>
        <v>7313573.92</v>
      </c>
      <c r="F105" s="100">
        <f t="shared" si="47"/>
        <v>7313573.92</v>
      </c>
      <c r="G105" s="100">
        <f t="shared" si="48"/>
        <v>-1553173.92</v>
      </c>
      <c r="H105" s="3"/>
      <c r="I105" s="15" t="s">
        <v>108</v>
      </c>
      <c r="J105" s="101">
        <f>(G115*0.3-H99)/H99</f>
        <v>-0.7097993122</v>
      </c>
      <c r="K105" s="98">
        <v>3.0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6">
        <f t="shared" si="49"/>
        <v>2936520</v>
      </c>
      <c r="B106" s="100">
        <v>3631786.96</v>
      </c>
      <c r="C106" s="78">
        <v>3.0</v>
      </c>
      <c r="D106" s="100">
        <f t="shared" ref="D106:E106" si="51">D105+A106</f>
        <v>8696920</v>
      </c>
      <c r="E106" s="100">
        <f t="shared" si="51"/>
        <v>10945360.88</v>
      </c>
      <c r="F106" s="100">
        <f t="shared" si="47"/>
        <v>10945360.88</v>
      </c>
      <c r="G106" s="100">
        <f t="shared" si="48"/>
        <v>-2248440.88</v>
      </c>
      <c r="H106" s="3"/>
      <c r="I106" s="15" t="s">
        <v>109</v>
      </c>
      <c r="J106" s="101">
        <f>(G119*0.3-H99)/H99</f>
        <v>-0.2342970315</v>
      </c>
      <c r="K106" s="98">
        <v>4.0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6">
        <f t="shared" si="49"/>
        <v>2748042</v>
      </c>
      <c r="B107" s="100">
        <v>3631786.96</v>
      </c>
      <c r="C107" s="78">
        <v>4.0</v>
      </c>
      <c r="D107" s="100">
        <f t="shared" ref="D107:E107" si="52">D106+A107</f>
        <v>11444962</v>
      </c>
      <c r="E107" s="100">
        <f t="shared" si="52"/>
        <v>14577147.84</v>
      </c>
      <c r="F107" s="100">
        <f t="shared" si="47"/>
        <v>14577147.84</v>
      </c>
      <c r="G107" s="100">
        <f t="shared" si="48"/>
        <v>-3132185.84</v>
      </c>
      <c r="H107" s="3"/>
      <c r="I107" s="15" t="s">
        <v>110</v>
      </c>
      <c r="J107" s="101">
        <f>(G123*0.3-H99)/H99</f>
        <v>0.2412052493</v>
      </c>
      <c r="K107" s="98">
        <v>5.0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02">
        <v>3854600.0</v>
      </c>
      <c r="B108" s="100">
        <v>3501205.71</v>
      </c>
      <c r="C108" s="78">
        <v>5.0</v>
      </c>
      <c r="D108" s="100">
        <f t="shared" ref="D108:D127" si="53">D107+A108</f>
        <v>15299562</v>
      </c>
      <c r="E108" s="100">
        <f>E107+B108+D35/4</f>
        <v>19453353.55</v>
      </c>
      <c r="F108" s="100">
        <f t="shared" si="47"/>
        <v>19453353.55</v>
      </c>
      <c r="G108" s="100">
        <f t="shared" si="48"/>
        <v>-4153791.55</v>
      </c>
      <c r="H108" s="3"/>
      <c r="I108" s="15" t="s">
        <v>111</v>
      </c>
      <c r="J108" s="101">
        <f>(G127*0.3-H99)/H99</f>
        <v>0.7167075301</v>
      </c>
      <c r="K108" s="98">
        <v>6.0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02">
        <v>5461585.0</v>
      </c>
      <c r="B109" s="100">
        <v>3501205.71</v>
      </c>
      <c r="C109" s="78">
        <v>6.0</v>
      </c>
      <c r="D109" s="100">
        <f t="shared" si="53"/>
        <v>20761147</v>
      </c>
      <c r="E109" s="100">
        <f>E108+B109+D35/4</f>
        <v>24329559.26</v>
      </c>
      <c r="F109" s="100">
        <f t="shared" si="47"/>
        <v>24329559.26</v>
      </c>
      <c r="G109" s="100">
        <f t="shared" si="48"/>
        <v>-3568412.26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02">
        <v>6155425.0</v>
      </c>
      <c r="B110" s="100">
        <v>3501205.71</v>
      </c>
      <c r="C110" s="78">
        <v>7.0</v>
      </c>
      <c r="D110" s="100">
        <f t="shared" si="53"/>
        <v>26916572</v>
      </c>
      <c r="E110" s="100">
        <f>E109+B110+(D35/4)</f>
        <v>29205764.97</v>
      </c>
      <c r="F110" s="100">
        <f t="shared" si="47"/>
        <v>29205764.97</v>
      </c>
      <c r="G110" s="100">
        <f t="shared" si="48"/>
        <v>-2289192.97</v>
      </c>
      <c r="H110" s="98" t="s">
        <v>112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02">
        <v>5299200.0</v>
      </c>
      <c r="B111" s="100">
        <v>3501205.71</v>
      </c>
      <c r="C111" s="78">
        <v>8.0</v>
      </c>
      <c r="D111" s="100">
        <f t="shared" si="53"/>
        <v>32215772</v>
      </c>
      <c r="E111" s="100">
        <f>E110+B111+(D35/4)</f>
        <v>34081970.68</v>
      </c>
      <c r="F111" s="100">
        <f t="shared" si="47"/>
        <v>34081970.68</v>
      </c>
      <c r="G111" s="100">
        <f t="shared" si="48"/>
        <v>-1866198.68</v>
      </c>
      <c r="H111" s="23">
        <f>sum(G103:G111)</f>
        <v>-19653183.06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02">
        <v>4872689.05</v>
      </c>
      <c r="B112" s="100">
        <v>3576326.281</v>
      </c>
      <c r="C112" s="78">
        <v>9.0</v>
      </c>
      <c r="D112" s="100">
        <f t="shared" si="53"/>
        <v>37088461.05</v>
      </c>
      <c r="E112" s="100">
        <f t="shared" ref="E112:E127" si="54">E111+B112</f>
        <v>37658296.96</v>
      </c>
      <c r="F112" s="100">
        <f t="shared" si="47"/>
        <v>37658296.96</v>
      </c>
      <c r="G112" s="100">
        <f t="shared" si="48"/>
        <v>-569835.911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02">
        <v>7420239.05</v>
      </c>
      <c r="B113" s="100">
        <v>3576326.281</v>
      </c>
      <c r="C113" s="78">
        <v>10.0</v>
      </c>
      <c r="D113" s="100">
        <f t="shared" si="53"/>
        <v>44508700.1</v>
      </c>
      <c r="E113" s="100">
        <f t="shared" si="54"/>
        <v>41234623.24</v>
      </c>
      <c r="F113" s="100">
        <f t="shared" ref="F113:F127" si="55">(D113-E113)*0.0675 + E113</f>
        <v>41455623.43</v>
      </c>
      <c r="G113" s="100">
        <f t="shared" si="48"/>
        <v>3053076.67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02">
        <v>8124039.05</v>
      </c>
      <c r="B114" s="100">
        <v>3576326.281</v>
      </c>
      <c r="C114" s="78">
        <v>11.0</v>
      </c>
      <c r="D114" s="100">
        <f t="shared" si="53"/>
        <v>52632739.15</v>
      </c>
      <c r="E114" s="100">
        <f t="shared" si="54"/>
        <v>44810949.52</v>
      </c>
      <c r="F114" s="100">
        <f t="shared" si="55"/>
        <v>45338920.32</v>
      </c>
      <c r="G114" s="100">
        <f t="shared" si="48"/>
        <v>7293818.827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02">
        <v>6128109.05</v>
      </c>
      <c r="B115" s="100">
        <v>3576326.281</v>
      </c>
      <c r="C115" s="78">
        <v>12.0</v>
      </c>
      <c r="D115" s="100">
        <f t="shared" si="53"/>
        <v>58760848.2</v>
      </c>
      <c r="E115" s="100">
        <f t="shared" si="54"/>
        <v>48387275.8</v>
      </c>
      <c r="F115" s="100">
        <f t="shared" si="55"/>
        <v>49087491.94</v>
      </c>
      <c r="G115" s="100">
        <f t="shared" si="48"/>
        <v>9673356.259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02">
        <v>6680409.05</v>
      </c>
      <c r="B116" s="100">
        <v>3658958.9091</v>
      </c>
      <c r="C116" s="78">
        <v>13.0</v>
      </c>
      <c r="D116" s="100">
        <f t="shared" si="53"/>
        <v>65441257.25</v>
      </c>
      <c r="E116" s="100">
        <f t="shared" si="54"/>
        <v>52046234.71</v>
      </c>
      <c r="F116" s="100">
        <f t="shared" si="55"/>
        <v>52950398.73</v>
      </c>
      <c r="G116" s="100">
        <f t="shared" si="48"/>
        <v>12490858.52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02">
        <v>9057659.05</v>
      </c>
      <c r="B117" s="100">
        <v>3658958.9091</v>
      </c>
      <c r="C117" s="78">
        <v>14.0</v>
      </c>
      <c r="D117" s="100">
        <f t="shared" si="53"/>
        <v>74498916.3</v>
      </c>
      <c r="E117" s="100">
        <f t="shared" si="54"/>
        <v>55705193.62</v>
      </c>
      <c r="F117" s="100">
        <f t="shared" si="55"/>
        <v>56973769.9</v>
      </c>
      <c r="G117" s="100">
        <f t="shared" si="48"/>
        <v>17525146.4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02">
        <v>9126359.05</v>
      </c>
      <c r="B118" s="100">
        <v>3658958.9091</v>
      </c>
      <c r="C118" s="78">
        <v>15.0</v>
      </c>
      <c r="D118" s="100">
        <f t="shared" si="53"/>
        <v>83625275.35</v>
      </c>
      <c r="E118" s="100">
        <f t="shared" si="54"/>
        <v>59364152.53</v>
      </c>
      <c r="F118" s="100">
        <f t="shared" si="55"/>
        <v>61001778.32</v>
      </c>
      <c r="G118" s="100">
        <f t="shared" si="48"/>
        <v>22623497.03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02">
        <v>6768809.05</v>
      </c>
      <c r="B119" s="100">
        <v>3658958.9091</v>
      </c>
      <c r="C119" s="90">
        <v>16.0</v>
      </c>
      <c r="D119" s="100">
        <f t="shared" si="53"/>
        <v>90394084.4</v>
      </c>
      <c r="E119" s="100">
        <f t="shared" si="54"/>
        <v>63023111.44</v>
      </c>
      <c r="F119" s="100">
        <f t="shared" si="55"/>
        <v>64870652.12</v>
      </c>
      <c r="G119" s="100">
        <f t="shared" si="48"/>
        <v>25523432.28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02">
        <v>6680409.05</v>
      </c>
      <c r="B120" s="100">
        <v>3658958.9091</v>
      </c>
      <c r="C120" s="90">
        <v>17.0</v>
      </c>
      <c r="D120" s="100">
        <f t="shared" si="53"/>
        <v>97074493.45</v>
      </c>
      <c r="E120" s="100">
        <f t="shared" si="54"/>
        <v>66682070.35</v>
      </c>
      <c r="F120" s="100">
        <f t="shared" si="55"/>
        <v>68733558.91</v>
      </c>
      <c r="G120" s="100">
        <f t="shared" si="48"/>
        <v>28340934.54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02">
        <v>9057659.05</v>
      </c>
      <c r="B121" s="100">
        <v>3658958.9091</v>
      </c>
      <c r="C121" s="90">
        <v>18.0</v>
      </c>
      <c r="D121" s="100">
        <f t="shared" si="53"/>
        <v>106132152.5</v>
      </c>
      <c r="E121" s="100">
        <f t="shared" si="54"/>
        <v>70341029.26</v>
      </c>
      <c r="F121" s="100">
        <f t="shared" si="55"/>
        <v>72756930.08</v>
      </c>
      <c r="G121" s="100">
        <f t="shared" si="48"/>
        <v>33375222.42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02">
        <v>9126359.05</v>
      </c>
      <c r="B122" s="100">
        <v>3658958.9091</v>
      </c>
      <c r="C122" s="90">
        <v>19.0</v>
      </c>
      <c r="D122" s="100">
        <f t="shared" si="53"/>
        <v>115258511.6</v>
      </c>
      <c r="E122" s="100">
        <f t="shared" si="54"/>
        <v>73999988.17</v>
      </c>
      <c r="F122" s="100">
        <f t="shared" si="55"/>
        <v>76784938.5</v>
      </c>
      <c r="G122" s="100">
        <f t="shared" si="48"/>
        <v>38473573.05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02">
        <v>6768809.05</v>
      </c>
      <c r="B123" s="100">
        <v>3658958.9091</v>
      </c>
      <c r="C123" s="90">
        <v>20.0</v>
      </c>
      <c r="D123" s="100">
        <f t="shared" si="53"/>
        <v>122027320.6</v>
      </c>
      <c r="E123" s="100">
        <f t="shared" si="54"/>
        <v>77658947.08</v>
      </c>
      <c r="F123" s="100">
        <f t="shared" si="55"/>
        <v>80653812.29</v>
      </c>
      <c r="G123" s="100">
        <f t="shared" si="48"/>
        <v>41373508.31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02">
        <v>6680409.05</v>
      </c>
      <c r="B124" s="100">
        <v>3658958.9091</v>
      </c>
      <c r="C124" s="15">
        <v>21.0</v>
      </c>
      <c r="D124" s="100">
        <f t="shared" si="53"/>
        <v>128707729.7</v>
      </c>
      <c r="E124" s="100">
        <f t="shared" si="54"/>
        <v>81317905.99</v>
      </c>
      <c r="F124" s="100">
        <f t="shared" si="55"/>
        <v>84516719.08</v>
      </c>
      <c r="G124" s="100">
        <f t="shared" si="48"/>
        <v>44191010.57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02">
        <v>9057659.05</v>
      </c>
      <c r="B125" s="100">
        <v>3658958.9091</v>
      </c>
      <c r="C125" s="15">
        <v>22.0</v>
      </c>
      <c r="D125" s="100">
        <f t="shared" si="53"/>
        <v>137765388.7</v>
      </c>
      <c r="E125" s="100">
        <f t="shared" si="54"/>
        <v>84976864.9</v>
      </c>
      <c r="F125" s="100">
        <f t="shared" si="55"/>
        <v>88540090.25</v>
      </c>
      <c r="G125" s="100">
        <f t="shared" si="48"/>
        <v>49225298.45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02">
        <v>9126359.05</v>
      </c>
      <c r="B126" s="100">
        <v>3658958.9091</v>
      </c>
      <c r="C126" s="15">
        <v>23.0</v>
      </c>
      <c r="D126" s="100">
        <f t="shared" si="53"/>
        <v>146891747.8</v>
      </c>
      <c r="E126" s="100">
        <f t="shared" si="54"/>
        <v>88635823.8</v>
      </c>
      <c r="F126" s="100">
        <f t="shared" si="55"/>
        <v>92568098.67</v>
      </c>
      <c r="G126" s="100">
        <f t="shared" si="48"/>
        <v>54323649.08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6">
        <v>6768809.05</v>
      </c>
      <c r="B127" s="100">
        <v>3658958.9091</v>
      </c>
      <c r="C127" s="15">
        <v>24.0</v>
      </c>
      <c r="D127" s="100">
        <f t="shared" si="53"/>
        <v>153660556.8</v>
      </c>
      <c r="E127" s="100">
        <f t="shared" si="54"/>
        <v>92294782.71</v>
      </c>
      <c r="F127" s="100">
        <f t="shared" si="55"/>
        <v>96436972.46</v>
      </c>
      <c r="G127" s="100">
        <f t="shared" si="48"/>
        <v>57223584.34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03"/>
      <c r="B128" s="17"/>
      <c r="C128" s="98"/>
      <c r="D128" s="17"/>
      <c r="E128" s="1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03"/>
      <c r="B129" s="17"/>
      <c r="C129" s="98"/>
      <c r="D129" s="17"/>
      <c r="E129" s="1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03"/>
      <c r="B130" s="17"/>
      <c r="C130" s="98"/>
      <c r="D130" s="17"/>
      <c r="E130" s="1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3"/>
      <c r="B131" s="17"/>
      <c r="C131" s="98"/>
      <c r="D131" s="17"/>
      <c r="E131" s="1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17"/>
      <c r="C132" s="3"/>
      <c r="D132" s="3"/>
      <c r="E132" s="1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17"/>
      <c r="C133" s="3"/>
      <c r="D133" s="3"/>
      <c r="E133" s="1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17"/>
      <c r="C134" s="3"/>
      <c r="D134" s="3"/>
      <c r="E134" s="1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17"/>
      <c r="C135" s="3"/>
      <c r="D135" s="3"/>
      <c r="E135" s="1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17"/>
      <c r="C136" s="3"/>
      <c r="D136" s="3"/>
      <c r="E136" s="1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17"/>
      <c r="C137" s="3"/>
      <c r="D137" s="3"/>
      <c r="E137" s="1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17"/>
      <c r="C138" s="3"/>
      <c r="D138" s="3"/>
      <c r="E138" s="1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17"/>
      <c r="C139" s="3"/>
      <c r="D139" s="3"/>
      <c r="E139" s="1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17"/>
      <c r="C140" s="3"/>
      <c r="D140" s="3"/>
      <c r="E140" s="1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17"/>
      <c r="C141" s="3"/>
      <c r="D141" s="3"/>
      <c r="E141" s="1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17"/>
      <c r="C142" s="3"/>
      <c r="D142" s="3"/>
      <c r="E142" s="1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17"/>
      <c r="C143" s="3"/>
      <c r="D143" s="3"/>
      <c r="E143" s="1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17"/>
      <c r="C144" s="3"/>
      <c r="D144" s="3"/>
      <c r="E144" s="1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17"/>
      <c r="C145" s="3"/>
      <c r="D145" s="3"/>
      <c r="E145" s="1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17"/>
      <c r="C146" s="3"/>
      <c r="D146" s="3"/>
      <c r="E146" s="1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17"/>
      <c r="C147" s="3"/>
      <c r="D147" s="3"/>
      <c r="E147" s="1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17"/>
      <c r="C148" s="3"/>
      <c r="D148" s="3"/>
      <c r="E148" s="1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17"/>
      <c r="C149" s="3"/>
      <c r="D149" s="3"/>
      <c r="E149" s="1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17"/>
      <c r="C150" s="3"/>
      <c r="D150" s="3"/>
      <c r="E150" s="1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17"/>
      <c r="C151" s="3"/>
      <c r="D151" s="3"/>
      <c r="E151" s="1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17"/>
      <c r="C152" s="3"/>
      <c r="D152" s="3"/>
      <c r="E152" s="1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17"/>
      <c r="C153" s="3"/>
      <c r="D153" s="3"/>
      <c r="E153" s="1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17"/>
      <c r="C154" s="3"/>
      <c r="D154" s="3"/>
      <c r="E154" s="1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17"/>
      <c r="C155" s="3"/>
      <c r="D155" s="3"/>
      <c r="E155" s="1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17"/>
      <c r="C156" s="3"/>
      <c r="D156" s="3"/>
      <c r="E156" s="1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17"/>
      <c r="C157" s="3"/>
      <c r="D157" s="3"/>
      <c r="E157" s="1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17"/>
      <c r="C158" s="3"/>
      <c r="D158" s="3"/>
      <c r="E158" s="1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17"/>
      <c r="C159" s="3"/>
      <c r="D159" s="3"/>
      <c r="E159" s="1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17"/>
      <c r="C160" s="3"/>
      <c r="D160" s="3"/>
      <c r="E160" s="1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17"/>
      <c r="C161" s="3"/>
      <c r="D161" s="3"/>
      <c r="E161" s="1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17"/>
      <c r="C162" s="3"/>
      <c r="D162" s="3"/>
      <c r="E162" s="1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17"/>
      <c r="C163" s="3"/>
      <c r="D163" s="3"/>
      <c r="E163" s="1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17"/>
      <c r="C164" s="3"/>
      <c r="D164" s="3"/>
      <c r="E164" s="1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17"/>
      <c r="C165" s="3"/>
      <c r="D165" s="3"/>
      <c r="E165" s="1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17"/>
      <c r="C166" s="3"/>
      <c r="D166" s="3"/>
      <c r="E166" s="1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17"/>
      <c r="C167" s="3"/>
      <c r="D167" s="3"/>
      <c r="E167" s="1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17"/>
      <c r="C168" s="3"/>
      <c r="D168" s="3"/>
      <c r="E168" s="1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17"/>
      <c r="C169" s="3"/>
      <c r="D169" s="3"/>
      <c r="E169" s="1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17"/>
      <c r="C170" s="3"/>
      <c r="D170" s="3"/>
      <c r="E170" s="1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17"/>
      <c r="C171" s="3"/>
      <c r="D171" s="3"/>
      <c r="E171" s="1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17"/>
      <c r="C172" s="3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17"/>
      <c r="C173" s="3"/>
      <c r="D173" s="3"/>
      <c r="E173" s="1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17"/>
      <c r="C174" s="3"/>
      <c r="D174" s="3"/>
      <c r="E174" s="1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17"/>
      <c r="C175" s="3"/>
      <c r="D175" s="3"/>
      <c r="E175" s="1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17"/>
      <c r="C176" s="3"/>
      <c r="D176" s="3"/>
      <c r="E176" s="1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17"/>
      <c r="C177" s="3"/>
      <c r="D177" s="3"/>
      <c r="E177" s="1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17"/>
      <c r="C178" s="3"/>
      <c r="D178" s="3"/>
      <c r="E178" s="1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17"/>
      <c r="C179" s="3"/>
      <c r="D179" s="3"/>
      <c r="E179" s="1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17"/>
      <c r="C180" s="3"/>
      <c r="D180" s="3"/>
      <c r="E180" s="1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17"/>
      <c r="C181" s="3"/>
      <c r="D181" s="3"/>
      <c r="E181" s="1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17"/>
      <c r="C182" s="3"/>
      <c r="D182" s="3"/>
      <c r="E182" s="1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17"/>
      <c r="C183" s="3"/>
      <c r="D183" s="3"/>
      <c r="E183" s="1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17"/>
      <c r="C184" s="3"/>
      <c r="D184" s="3"/>
      <c r="E184" s="1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17"/>
      <c r="C185" s="3"/>
      <c r="D185" s="3"/>
      <c r="E185" s="1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17"/>
      <c r="C186" s="3"/>
      <c r="D186" s="3"/>
      <c r="E186" s="1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17"/>
      <c r="C187" s="3"/>
      <c r="D187" s="3"/>
      <c r="E187" s="1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17"/>
      <c r="C188" s="3"/>
      <c r="D188" s="3"/>
      <c r="E188" s="1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17"/>
      <c r="C189" s="3"/>
      <c r="D189" s="3"/>
      <c r="E189" s="1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17"/>
      <c r="C190" s="3"/>
      <c r="D190" s="3"/>
      <c r="E190" s="1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17"/>
      <c r="C191" s="3"/>
      <c r="D191" s="3"/>
      <c r="E191" s="1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17"/>
      <c r="C192" s="3"/>
      <c r="D192" s="3"/>
      <c r="E192" s="1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17"/>
      <c r="C193" s="3"/>
      <c r="D193" s="3"/>
      <c r="E193" s="1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17"/>
      <c r="C194" s="3"/>
      <c r="D194" s="3"/>
      <c r="E194" s="1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17"/>
      <c r="C195" s="3"/>
      <c r="D195" s="3"/>
      <c r="E195" s="1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17"/>
      <c r="C196" s="3"/>
      <c r="D196" s="3"/>
      <c r="E196" s="1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17"/>
      <c r="C197" s="3"/>
      <c r="D197" s="3"/>
      <c r="E197" s="1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17"/>
      <c r="C198" s="3"/>
      <c r="D198" s="3"/>
      <c r="E198" s="1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17"/>
      <c r="C199" s="3"/>
      <c r="D199" s="3"/>
      <c r="E199" s="1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17"/>
      <c r="C200" s="3"/>
      <c r="D200" s="3"/>
      <c r="E200" s="1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17"/>
      <c r="C201" s="3"/>
      <c r="D201" s="3"/>
      <c r="E201" s="1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17"/>
      <c r="C202" s="3"/>
      <c r="D202" s="3"/>
      <c r="E202" s="1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17"/>
      <c r="C203" s="3"/>
      <c r="D203" s="3"/>
      <c r="E203" s="1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17"/>
      <c r="C204" s="3"/>
      <c r="D204" s="3"/>
      <c r="E204" s="1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17"/>
      <c r="C205" s="3"/>
      <c r="D205" s="3"/>
      <c r="E205" s="1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17"/>
      <c r="C206" s="3"/>
      <c r="D206" s="3"/>
      <c r="E206" s="1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17"/>
      <c r="C207" s="3"/>
      <c r="D207" s="3"/>
      <c r="E207" s="1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17"/>
      <c r="C208" s="3"/>
      <c r="D208" s="3"/>
      <c r="E208" s="1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17"/>
      <c r="C209" s="3"/>
      <c r="D209" s="3"/>
      <c r="E209" s="1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17"/>
      <c r="C210" s="3"/>
      <c r="D210" s="3"/>
      <c r="E210" s="1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17"/>
      <c r="C211" s="3"/>
      <c r="D211" s="3"/>
      <c r="E211" s="1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17"/>
      <c r="C212" s="3"/>
      <c r="D212" s="3"/>
      <c r="E212" s="1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17"/>
      <c r="C213" s="3"/>
      <c r="D213" s="3"/>
      <c r="E213" s="1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17"/>
      <c r="C214" s="3"/>
      <c r="D214" s="3"/>
      <c r="E214" s="1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17"/>
      <c r="C215" s="3"/>
      <c r="D215" s="3"/>
      <c r="E215" s="1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17"/>
      <c r="C216" s="3"/>
      <c r="D216" s="3"/>
      <c r="E216" s="1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17"/>
      <c r="C217" s="3"/>
      <c r="D217" s="3"/>
      <c r="E217" s="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17"/>
      <c r="C218" s="3"/>
      <c r="D218" s="3"/>
      <c r="E218" s="1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17"/>
      <c r="C219" s="3"/>
      <c r="D219" s="3"/>
      <c r="E219" s="1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17"/>
      <c r="C220" s="3"/>
      <c r="D220" s="3"/>
      <c r="E220" s="1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17"/>
      <c r="C221" s="3"/>
      <c r="D221" s="3"/>
      <c r="E221" s="1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17"/>
      <c r="C222" s="3"/>
      <c r="D222" s="3"/>
      <c r="E222" s="1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17"/>
      <c r="C223" s="3"/>
      <c r="D223" s="3"/>
      <c r="E223" s="1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17"/>
      <c r="C224" s="3"/>
      <c r="D224" s="3"/>
      <c r="E224" s="1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17"/>
      <c r="C225" s="3"/>
      <c r="D225" s="3"/>
      <c r="E225" s="1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17"/>
      <c r="C226" s="3"/>
      <c r="D226" s="3"/>
      <c r="E226" s="1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17"/>
      <c r="C227" s="3"/>
      <c r="D227" s="3"/>
      <c r="E227" s="1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17"/>
      <c r="C228" s="3"/>
      <c r="D228" s="3"/>
      <c r="E228" s="1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17"/>
      <c r="C229" s="3"/>
      <c r="D229" s="3"/>
      <c r="E229" s="1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17"/>
      <c r="C230" s="3"/>
      <c r="D230" s="3"/>
      <c r="E230" s="1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17"/>
      <c r="C231" s="3"/>
      <c r="D231" s="3"/>
      <c r="E231" s="1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17"/>
      <c r="C232" s="3"/>
      <c r="D232" s="3"/>
      <c r="E232" s="1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17"/>
      <c r="C233" s="3"/>
      <c r="D233" s="3"/>
      <c r="E233" s="1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17"/>
      <c r="C234" s="3"/>
      <c r="D234" s="3"/>
      <c r="E234" s="1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17"/>
      <c r="C235" s="3"/>
      <c r="D235" s="3"/>
      <c r="E235" s="1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17"/>
      <c r="C236" s="3"/>
      <c r="D236" s="3"/>
      <c r="E236" s="1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17"/>
      <c r="C237" s="3"/>
      <c r="D237" s="3"/>
      <c r="E237" s="1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17"/>
      <c r="C238" s="3"/>
      <c r="D238" s="3"/>
      <c r="E238" s="1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17"/>
      <c r="C239" s="3"/>
      <c r="D239" s="3"/>
      <c r="E239" s="1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17"/>
      <c r="C240" s="3"/>
      <c r="D240" s="3"/>
      <c r="E240" s="1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17"/>
      <c r="C241" s="3"/>
      <c r="D241" s="3"/>
      <c r="E241" s="1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17"/>
      <c r="C242" s="3"/>
      <c r="D242" s="3"/>
      <c r="E242" s="1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17"/>
      <c r="C243" s="3"/>
      <c r="D243" s="3"/>
      <c r="E243" s="1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17"/>
      <c r="C244" s="3"/>
      <c r="D244" s="3"/>
      <c r="E244" s="1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17"/>
      <c r="C245" s="3"/>
      <c r="D245" s="3"/>
      <c r="E245" s="1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17"/>
      <c r="C246" s="3"/>
      <c r="D246" s="3"/>
      <c r="E246" s="1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17"/>
      <c r="C247" s="3"/>
      <c r="D247" s="3"/>
      <c r="E247" s="1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17"/>
      <c r="C248" s="3"/>
      <c r="D248" s="3"/>
      <c r="E248" s="1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17"/>
      <c r="C249" s="3"/>
      <c r="D249" s="3"/>
      <c r="E249" s="1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17"/>
      <c r="C250" s="3"/>
      <c r="D250" s="3"/>
      <c r="E250" s="1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17"/>
      <c r="C251" s="3"/>
      <c r="D251" s="3"/>
      <c r="E251" s="1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17"/>
      <c r="C252" s="3"/>
      <c r="D252" s="3"/>
      <c r="E252" s="1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17"/>
      <c r="C253" s="3"/>
      <c r="D253" s="3"/>
      <c r="E253" s="1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17"/>
      <c r="C254" s="3"/>
      <c r="D254" s="3"/>
      <c r="E254" s="1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17"/>
      <c r="C255" s="3"/>
      <c r="D255" s="3"/>
      <c r="E255" s="1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17"/>
      <c r="C256" s="3"/>
      <c r="D256" s="3"/>
      <c r="E256" s="1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17"/>
      <c r="C257" s="3"/>
      <c r="D257" s="3"/>
      <c r="E257" s="1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17"/>
      <c r="C258" s="3"/>
      <c r="D258" s="3"/>
      <c r="E258" s="1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17"/>
      <c r="C259" s="3"/>
      <c r="D259" s="3"/>
      <c r="E259" s="1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17"/>
      <c r="C260" s="3"/>
      <c r="D260" s="3"/>
      <c r="E260" s="1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17"/>
      <c r="C261" s="3"/>
      <c r="D261" s="3"/>
      <c r="E261" s="1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17"/>
      <c r="C262" s="3"/>
      <c r="D262" s="3"/>
      <c r="E262" s="1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17"/>
      <c r="C263" s="3"/>
      <c r="D263" s="3"/>
      <c r="E263" s="1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17"/>
      <c r="C264" s="3"/>
      <c r="D264" s="3"/>
      <c r="E264" s="1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17"/>
      <c r="C265" s="3"/>
      <c r="D265" s="3"/>
      <c r="E265" s="1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17"/>
      <c r="C266" s="3"/>
      <c r="D266" s="3"/>
      <c r="E266" s="1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17"/>
      <c r="C267" s="3"/>
      <c r="D267" s="3"/>
      <c r="E267" s="1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17"/>
      <c r="C268" s="3"/>
      <c r="D268" s="3"/>
      <c r="E268" s="1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17"/>
      <c r="C269" s="3"/>
      <c r="D269" s="3"/>
      <c r="E269" s="1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17"/>
      <c r="C270" s="3"/>
      <c r="D270" s="3"/>
      <c r="E270" s="1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17"/>
      <c r="C271" s="3"/>
      <c r="D271" s="3"/>
      <c r="E271" s="1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17"/>
      <c r="C272" s="3"/>
      <c r="D272" s="3"/>
      <c r="E272" s="1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17"/>
      <c r="C273" s="3"/>
      <c r="D273" s="3"/>
      <c r="E273" s="1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17"/>
      <c r="C274" s="3"/>
      <c r="D274" s="3"/>
      <c r="E274" s="1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17"/>
      <c r="C275" s="3"/>
      <c r="D275" s="3"/>
      <c r="E275" s="1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17"/>
      <c r="C276" s="3"/>
      <c r="D276" s="3"/>
      <c r="E276" s="1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17"/>
      <c r="C277" s="3"/>
      <c r="D277" s="3"/>
      <c r="E277" s="1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17"/>
      <c r="C278" s="3"/>
      <c r="D278" s="3"/>
      <c r="E278" s="1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17"/>
      <c r="C279" s="3"/>
      <c r="D279" s="3"/>
      <c r="E279" s="1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17"/>
      <c r="C280" s="3"/>
      <c r="D280" s="3"/>
      <c r="E280" s="1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17"/>
      <c r="C281" s="3"/>
      <c r="D281" s="3"/>
      <c r="E281" s="1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17"/>
      <c r="C282" s="3"/>
      <c r="D282" s="3"/>
      <c r="E282" s="1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17"/>
      <c r="C283" s="3"/>
      <c r="D283" s="3"/>
      <c r="E283" s="1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17"/>
      <c r="C284" s="3"/>
      <c r="D284" s="3"/>
      <c r="E284" s="1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17"/>
      <c r="C285" s="3"/>
      <c r="D285" s="3"/>
      <c r="E285" s="1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17"/>
      <c r="C286" s="3"/>
      <c r="D286" s="3"/>
      <c r="E286" s="1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17"/>
      <c r="C287" s="3"/>
      <c r="D287" s="3"/>
      <c r="E287" s="1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17"/>
      <c r="C288" s="3"/>
      <c r="D288" s="3"/>
      <c r="E288" s="1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17"/>
      <c r="C289" s="3"/>
      <c r="D289" s="3"/>
      <c r="E289" s="1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17"/>
      <c r="C290" s="3"/>
      <c r="D290" s="3"/>
      <c r="E290" s="1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17"/>
      <c r="C291" s="3"/>
      <c r="D291" s="3"/>
      <c r="E291" s="1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17"/>
      <c r="C292" s="3"/>
      <c r="D292" s="3"/>
      <c r="E292" s="1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17"/>
      <c r="C293" s="3"/>
      <c r="D293" s="3"/>
      <c r="E293" s="1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17"/>
      <c r="C294" s="3"/>
      <c r="D294" s="3"/>
      <c r="E294" s="1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17"/>
      <c r="C295" s="3"/>
      <c r="D295" s="3"/>
      <c r="E295" s="1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17"/>
      <c r="C296" s="3"/>
      <c r="D296" s="3"/>
      <c r="E296" s="1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17"/>
      <c r="C297" s="3"/>
      <c r="D297" s="3"/>
      <c r="E297" s="1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17"/>
      <c r="C298" s="3"/>
      <c r="D298" s="3"/>
      <c r="E298" s="1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17"/>
      <c r="C299" s="3"/>
      <c r="D299" s="3"/>
      <c r="E299" s="1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17"/>
      <c r="C300" s="3"/>
      <c r="D300" s="3"/>
      <c r="E300" s="1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17"/>
      <c r="C301" s="3"/>
      <c r="D301" s="3"/>
      <c r="E301" s="1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17"/>
      <c r="C302" s="3"/>
      <c r="D302" s="3"/>
      <c r="E302" s="1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17"/>
      <c r="C303" s="3"/>
      <c r="D303" s="3"/>
      <c r="E303" s="1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17"/>
      <c r="C304" s="3"/>
      <c r="D304" s="3"/>
      <c r="E304" s="1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17"/>
      <c r="C305" s="3"/>
      <c r="D305" s="3"/>
      <c r="E305" s="1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17"/>
      <c r="C306" s="3"/>
      <c r="D306" s="3"/>
      <c r="E306" s="1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17"/>
      <c r="C307" s="3"/>
      <c r="D307" s="3"/>
      <c r="E307" s="1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17"/>
      <c r="C308" s="3"/>
      <c r="D308" s="3"/>
      <c r="E308" s="1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17"/>
      <c r="C309" s="3"/>
      <c r="D309" s="3"/>
      <c r="E309" s="1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17"/>
      <c r="C310" s="3"/>
      <c r="D310" s="3"/>
      <c r="E310" s="1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17"/>
      <c r="C311" s="3"/>
      <c r="D311" s="3"/>
      <c r="E311" s="1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17"/>
      <c r="C312" s="3"/>
      <c r="D312" s="3"/>
      <c r="E312" s="1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17"/>
      <c r="C313" s="3"/>
      <c r="D313" s="3"/>
      <c r="E313" s="1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17"/>
      <c r="C314" s="3"/>
      <c r="D314" s="3"/>
      <c r="E314" s="1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17"/>
      <c r="C315" s="3"/>
      <c r="D315" s="3"/>
      <c r="E315" s="1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17"/>
      <c r="C316" s="3"/>
      <c r="D316" s="3"/>
      <c r="E316" s="1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17"/>
      <c r="C317" s="3"/>
      <c r="D317" s="3"/>
      <c r="E317" s="1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17"/>
      <c r="C318" s="3"/>
      <c r="D318" s="3"/>
      <c r="E318" s="1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17"/>
      <c r="C319" s="3"/>
      <c r="D319" s="3"/>
      <c r="E319" s="1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17"/>
      <c r="C320" s="3"/>
      <c r="D320" s="3"/>
      <c r="E320" s="1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17"/>
      <c r="C321" s="3"/>
      <c r="D321" s="3"/>
      <c r="E321" s="1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17"/>
      <c r="C322" s="3"/>
      <c r="D322" s="3"/>
      <c r="E322" s="1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17"/>
      <c r="C323" s="3"/>
      <c r="D323" s="3"/>
      <c r="E323" s="1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17"/>
      <c r="C324" s="3"/>
      <c r="D324" s="3"/>
      <c r="E324" s="1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17"/>
      <c r="C325" s="3"/>
      <c r="D325" s="3"/>
      <c r="E325" s="1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17"/>
      <c r="C326" s="3"/>
      <c r="D326" s="3"/>
      <c r="E326" s="1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17"/>
      <c r="C327" s="3"/>
      <c r="D327" s="3"/>
      <c r="E327" s="1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17"/>
      <c r="C328" s="3"/>
      <c r="D328" s="3"/>
      <c r="E328" s="1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17"/>
      <c r="C329" s="3"/>
      <c r="D329" s="3"/>
      <c r="E329" s="1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17"/>
      <c r="C330" s="3"/>
      <c r="D330" s="3"/>
      <c r="E330" s="1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17"/>
      <c r="C331" s="3"/>
      <c r="D331" s="3"/>
      <c r="E331" s="1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17"/>
      <c r="C332" s="3"/>
      <c r="D332" s="3"/>
      <c r="E332" s="1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17"/>
      <c r="C333" s="3"/>
      <c r="D333" s="3"/>
      <c r="E333" s="1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17"/>
      <c r="C334" s="3"/>
      <c r="D334" s="3"/>
      <c r="E334" s="1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17"/>
      <c r="C335" s="3"/>
      <c r="D335" s="3"/>
      <c r="E335" s="1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17"/>
      <c r="C336" s="3"/>
      <c r="D336" s="3"/>
      <c r="E336" s="1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17"/>
      <c r="C337" s="3"/>
      <c r="D337" s="3"/>
      <c r="E337" s="1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17"/>
      <c r="C338" s="3"/>
      <c r="D338" s="3"/>
      <c r="E338" s="1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17"/>
      <c r="C339" s="3"/>
      <c r="D339" s="3"/>
      <c r="E339" s="1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17"/>
      <c r="C340" s="3"/>
      <c r="D340" s="3"/>
      <c r="E340" s="1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17"/>
      <c r="C341" s="3"/>
      <c r="D341" s="3"/>
      <c r="E341" s="1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17"/>
      <c r="C342" s="3"/>
      <c r="D342" s="3"/>
      <c r="E342" s="1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17"/>
      <c r="C343" s="3"/>
      <c r="D343" s="3"/>
      <c r="E343" s="1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17"/>
      <c r="C344" s="3"/>
      <c r="D344" s="3"/>
      <c r="E344" s="1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17"/>
      <c r="C345" s="3"/>
      <c r="D345" s="3"/>
      <c r="E345" s="1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17"/>
      <c r="C346" s="3"/>
      <c r="D346" s="3"/>
      <c r="E346" s="1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17"/>
      <c r="C347" s="3"/>
      <c r="D347" s="3"/>
      <c r="E347" s="1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17"/>
      <c r="C348" s="3"/>
      <c r="D348" s="3"/>
      <c r="E348" s="1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17"/>
      <c r="C349" s="3"/>
      <c r="D349" s="3"/>
      <c r="E349" s="1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17"/>
      <c r="C350" s="3"/>
      <c r="D350" s="3"/>
      <c r="E350" s="1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17"/>
      <c r="C351" s="3"/>
      <c r="D351" s="3"/>
      <c r="E351" s="1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17"/>
      <c r="C352" s="3"/>
      <c r="D352" s="3"/>
      <c r="E352" s="1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17"/>
      <c r="C353" s="3"/>
      <c r="D353" s="3"/>
      <c r="E353" s="1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17"/>
      <c r="C354" s="3"/>
      <c r="D354" s="3"/>
      <c r="E354" s="1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17"/>
      <c r="C355" s="3"/>
      <c r="D355" s="3"/>
      <c r="E355" s="1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17"/>
      <c r="C356" s="3"/>
      <c r="D356" s="3"/>
      <c r="E356" s="1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17"/>
      <c r="C357" s="3"/>
      <c r="D357" s="3"/>
      <c r="E357" s="1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17"/>
      <c r="C358" s="3"/>
      <c r="D358" s="3"/>
      <c r="E358" s="1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17"/>
      <c r="C359" s="3"/>
      <c r="D359" s="3"/>
      <c r="E359" s="1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17"/>
      <c r="C360" s="3"/>
      <c r="D360" s="3"/>
      <c r="E360" s="1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17"/>
      <c r="C361" s="3"/>
      <c r="D361" s="3"/>
      <c r="E361" s="1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17"/>
      <c r="C362" s="3"/>
      <c r="D362" s="3"/>
      <c r="E362" s="1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17"/>
      <c r="C363" s="3"/>
      <c r="D363" s="3"/>
      <c r="E363" s="1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17"/>
      <c r="C364" s="3"/>
      <c r="D364" s="3"/>
      <c r="E364" s="1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17"/>
      <c r="C365" s="3"/>
      <c r="D365" s="3"/>
      <c r="E365" s="1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17"/>
      <c r="C366" s="3"/>
      <c r="D366" s="3"/>
      <c r="E366" s="1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17"/>
      <c r="C367" s="3"/>
      <c r="D367" s="3"/>
      <c r="E367" s="1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17"/>
      <c r="C368" s="3"/>
      <c r="D368" s="3"/>
      <c r="E368" s="1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17"/>
      <c r="C369" s="3"/>
      <c r="D369" s="3"/>
      <c r="E369" s="1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17"/>
      <c r="C370" s="3"/>
      <c r="D370" s="3"/>
      <c r="E370" s="1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17"/>
      <c r="C371" s="3"/>
      <c r="D371" s="3"/>
      <c r="E371" s="1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17"/>
      <c r="C372" s="3"/>
      <c r="D372" s="3"/>
      <c r="E372" s="1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17"/>
      <c r="C373" s="3"/>
      <c r="D373" s="3"/>
      <c r="E373" s="1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17"/>
      <c r="C374" s="3"/>
      <c r="D374" s="3"/>
      <c r="E374" s="1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17"/>
      <c r="C375" s="3"/>
      <c r="D375" s="3"/>
      <c r="E375" s="1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17"/>
      <c r="C376" s="3"/>
      <c r="D376" s="3"/>
      <c r="E376" s="1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17"/>
      <c r="C377" s="3"/>
      <c r="D377" s="3"/>
      <c r="E377" s="1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17"/>
      <c r="C378" s="3"/>
      <c r="D378" s="3"/>
      <c r="E378" s="1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17"/>
      <c r="C379" s="3"/>
      <c r="D379" s="3"/>
      <c r="E379" s="1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17"/>
      <c r="C380" s="3"/>
      <c r="D380" s="3"/>
      <c r="E380" s="1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17"/>
      <c r="C381" s="3"/>
      <c r="D381" s="3"/>
      <c r="E381" s="1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17"/>
      <c r="C382" s="3"/>
      <c r="D382" s="3"/>
      <c r="E382" s="1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17"/>
      <c r="C383" s="3"/>
      <c r="D383" s="3"/>
      <c r="E383" s="1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17"/>
      <c r="C384" s="3"/>
      <c r="D384" s="3"/>
      <c r="E384" s="1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17"/>
      <c r="C385" s="3"/>
      <c r="D385" s="3"/>
      <c r="E385" s="1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17"/>
      <c r="C386" s="3"/>
      <c r="D386" s="3"/>
      <c r="E386" s="1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17"/>
      <c r="C387" s="3"/>
      <c r="D387" s="3"/>
      <c r="E387" s="1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17"/>
      <c r="C388" s="3"/>
      <c r="D388" s="3"/>
      <c r="E388" s="1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17"/>
      <c r="C389" s="3"/>
      <c r="D389" s="3"/>
      <c r="E389" s="1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17"/>
      <c r="C390" s="3"/>
      <c r="D390" s="3"/>
      <c r="E390" s="1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17"/>
      <c r="C391" s="3"/>
      <c r="D391" s="3"/>
      <c r="E391" s="1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17"/>
      <c r="C392" s="3"/>
      <c r="D392" s="3"/>
      <c r="E392" s="1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17"/>
      <c r="C393" s="3"/>
      <c r="D393" s="3"/>
      <c r="E393" s="1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17"/>
      <c r="C394" s="3"/>
      <c r="D394" s="3"/>
      <c r="E394" s="1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17"/>
      <c r="C395" s="3"/>
      <c r="D395" s="3"/>
      <c r="E395" s="1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17"/>
      <c r="C396" s="3"/>
      <c r="D396" s="3"/>
      <c r="E396" s="1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17"/>
      <c r="C397" s="3"/>
      <c r="D397" s="3"/>
      <c r="E397" s="1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17"/>
      <c r="C398" s="3"/>
      <c r="D398" s="3"/>
      <c r="E398" s="1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17"/>
      <c r="C399" s="3"/>
      <c r="D399" s="3"/>
      <c r="E399" s="1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17"/>
      <c r="C400" s="3"/>
      <c r="D400" s="3"/>
      <c r="E400" s="1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17"/>
      <c r="C401" s="3"/>
      <c r="D401" s="3"/>
      <c r="E401" s="1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17"/>
      <c r="C402" s="3"/>
      <c r="D402" s="3"/>
      <c r="E402" s="1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17"/>
      <c r="C403" s="3"/>
      <c r="D403" s="3"/>
      <c r="E403" s="1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17"/>
      <c r="C404" s="3"/>
      <c r="D404" s="3"/>
      <c r="E404" s="1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17"/>
      <c r="C405" s="3"/>
      <c r="D405" s="3"/>
      <c r="E405" s="1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17"/>
      <c r="C406" s="3"/>
      <c r="D406" s="3"/>
      <c r="E406" s="1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17"/>
      <c r="C407" s="3"/>
      <c r="D407" s="3"/>
      <c r="E407" s="1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17"/>
      <c r="C408" s="3"/>
      <c r="D408" s="3"/>
      <c r="E408" s="1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17"/>
      <c r="C409" s="3"/>
      <c r="D409" s="3"/>
      <c r="E409" s="1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17"/>
      <c r="C410" s="3"/>
      <c r="D410" s="3"/>
      <c r="E410" s="1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17"/>
      <c r="C411" s="3"/>
      <c r="D411" s="3"/>
      <c r="E411" s="1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17"/>
      <c r="C412" s="3"/>
      <c r="D412" s="3"/>
      <c r="E412" s="1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17"/>
      <c r="C413" s="3"/>
      <c r="D413" s="3"/>
      <c r="E413" s="1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17"/>
      <c r="C414" s="3"/>
      <c r="D414" s="3"/>
      <c r="E414" s="1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17"/>
      <c r="C415" s="3"/>
      <c r="D415" s="3"/>
      <c r="E415" s="1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17"/>
      <c r="C416" s="3"/>
      <c r="D416" s="3"/>
      <c r="E416" s="1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17"/>
      <c r="C417" s="3"/>
      <c r="D417" s="3"/>
      <c r="E417" s="1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17"/>
      <c r="C418" s="3"/>
      <c r="D418" s="3"/>
      <c r="E418" s="1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17"/>
      <c r="C419" s="3"/>
      <c r="D419" s="3"/>
      <c r="E419" s="1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17"/>
      <c r="C420" s="3"/>
      <c r="D420" s="3"/>
      <c r="E420" s="1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17"/>
      <c r="C421" s="3"/>
      <c r="D421" s="3"/>
      <c r="E421" s="1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17"/>
      <c r="C422" s="3"/>
      <c r="D422" s="3"/>
      <c r="E422" s="1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17"/>
      <c r="C423" s="3"/>
      <c r="D423" s="3"/>
      <c r="E423" s="1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17"/>
      <c r="C424" s="3"/>
      <c r="D424" s="3"/>
      <c r="E424" s="1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17"/>
      <c r="C425" s="3"/>
      <c r="D425" s="3"/>
      <c r="E425" s="1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17"/>
      <c r="C426" s="3"/>
      <c r="D426" s="3"/>
      <c r="E426" s="1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17"/>
      <c r="C427" s="3"/>
      <c r="D427" s="3"/>
      <c r="E427" s="1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17"/>
      <c r="C428" s="3"/>
      <c r="D428" s="3"/>
      <c r="E428" s="1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17"/>
      <c r="C429" s="3"/>
      <c r="D429" s="3"/>
      <c r="E429" s="1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17"/>
      <c r="C430" s="3"/>
      <c r="D430" s="3"/>
      <c r="E430" s="1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17"/>
      <c r="C431" s="3"/>
      <c r="D431" s="3"/>
      <c r="E431" s="1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17"/>
      <c r="C432" s="3"/>
      <c r="D432" s="3"/>
      <c r="E432" s="1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17"/>
      <c r="C433" s="3"/>
      <c r="D433" s="3"/>
      <c r="E433" s="1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17"/>
      <c r="C434" s="3"/>
      <c r="D434" s="3"/>
      <c r="E434" s="1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17"/>
      <c r="C435" s="3"/>
      <c r="D435" s="3"/>
      <c r="E435" s="1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17"/>
      <c r="C436" s="3"/>
      <c r="D436" s="3"/>
      <c r="E436" s="1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17"/>
      <c r="C437" s="3"/>
      <c r="D437" s="3"/>
      <c r="E437" s="1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17"/>
      <c r="C438" s="3"/>
      <c r="D438" s="3"/>
      <c r="E438" s="1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17"/>
      <c r="C439" s="3"/>
      <c r="D439" s="3"/>
      <c r="E439" s="1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17"/>
      <c r="C440" s="3"/>
      <c r="D440" s="3"/>
      <c r="E440" s="1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17"/>
      <c r="C441" s="3"/>
      <c r="D441" s="3"/>
      <c r="E441" s="1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17"/>
      <c r="C442" s="3"/>
      <c r="D442" s="3"/>
      <c r="E442" s="1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17"/>
      <c r="C443" s="3"/>
      <c r="D443" s="3"/>
      <c r="E443" s="1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17"/>
      <c r="C444" s="3"/>
      <c r="D444" s="3"/>
      <c r="E444" s="1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17"/>
      <c r="C445" s="3"/>
      <c r="D445" s="3"/>
      <c r="E445" s="1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17"/>
      <c r="C446" s="3"/>
      <c r="D446" s="3"/>
      <c r="E446" s="1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17"/>
      <c r="C447" s="3"/>
      <c r="D447" s="3"/>
      <c r="E447" s="1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17"/>
      <c r="C448" s="3"/>
      <c r="D448" s="3"/>
      <c r="E448" s="1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17"/>
      <c r="C449" s="3"/>
      <c r="D449" s="3"/>
      <c r="E449" s="1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17"/>
      <c r="C450" s="3"/>
      <c r="D450" s="3"/>
      <c r="E450" s="1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17"/>
      <c r="C451" s="3"/>
      <c r="D451" s="3"/>
      <c r="E451" s="1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17"/>
      <c r="C452" s="3"/>
      <c r="D452" s="3"/>
      <c r="E452" s="1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17"/>
      <c r="C453" s="3"/>
      <c r="D453" s="3"/>
      <c r="E453" s="1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17"/>
      <c r="C454" s="3"/>
      <c r="D454" s="3"/>
      <c r="E454" s="1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17"/>
      <c r="C455" s="3"/>
      <c r="D455" s="3"/>
      <c r="E455" s="1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17"/>
      <c r="C456" s="3"/>
      <c r="D456" s="3"/>
      <c r="E456" s="1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17"/>
      <c r="C457" s="3"/>
      <c r="D457" s="3"/>
      <c r="E457" s="1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17"/>
      <c r="C458" s="3"/>
      <c r="D458" s="3"/>
      <c r="E458" s="1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17"/>
      <c r="C459" s="3"/>
      <c r="D459" s="3"/>
      <c r="E459" s="1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17"/>
      <c r="C460" s="3"/>
      <c r="D460" s="3"/>
      <c r="E460" s="1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17"/>
      <c r="C461" s="3"/>
      <c r="D461" s="3"/>
      <c r="E461" s="1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17"/>
      <c r="C462" s="3"/>
      <c r="D462" s="3"/>
      <c r="E462" s="1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17"/>
      <c r="C463" s="3"/>
      <c r="D463" s="3"/>
      <c r="E463" s="1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17"/>
      <c r="C464" s="3"/>
      <c r="D464" s="3"/>
      <c r="E464" s="1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17"/>
      <c r="C465" s="3"/>
      <c r="D465" s="3"/>
      <c r="E465" s="1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17"/>
      <c r="C466" s="3"/>
      <c r="D466" s="3"/>
      <c r="E466" s="1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17"/>
      <c r="C467" s="3"/>
      <c r="D467" s="3"/>
      <c r="E467" s="1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17"/>
      <c r="C468" s="3"/>
      <c r="D468" s="3"/>
      <c r="E468" s="1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17"/>
      <c r="C469" s="3"/>
      <c r="D469" s="3"/>
      <c r="E469" s="1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17"/>
      <c r="C470" s="3"/>
      <c r="D470" s="3"/>
      <c r="E470" s="1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17"/>
      <c r="C471" s="3"/>
      <c r="D471" s="3"/>
      <c r="E471" s="1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17"/>
      <c r="C472" s="3"/>
      <c r="D472" s="3"/>
      <c r="E472" s="1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17"/>
      <c r="C473" s="3"/>
      <c r="D473" s="3"/>
      <c r="E473" s="1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17"/>
      <c r="C474" s="3"/>
      <c r="D474" s="3"/>
      <c r="E474" s="1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17"/>
      <c r="C475" s="3"/>
      <c r="D475" s="3"/>
      <c r="E475" s="1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17"/>
      <c r="C476" s="3"/>
      <c r="D476" s="3"/>
      <c r="E476" s="1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17"/>
      <c r="C477" s="3"/>
      <c r="D477" s="3"/>
      <c r="E477" s="1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17"/>
      <c r="C478" s="3"/>
      <c r="D478" s="3"/>
      <c r="E478" s="1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17"/>
      <c r="C479" s="3"/>
      <c r="D479" s="3"/>
      <c r="E479" s="1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17"/>
      <c r="C480" s="3"/>
      <c r="D480" s="3"/>
      <c r="E480" s="1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17"/>
      <c r="C481" s="3"/>
      <c r="D481" s="3"/>
      <c r="E481" s="1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17"/>
      <c r="C482" s="3"/>
      <c r="D482" s="3"/>
      <c r="E482" s="1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17"/>
      <c r="C483" s="3"/>
      <c r="D483" s="3"/>
      <c r="E483" s="1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17"/>
      <c r="C484" s="3"/>
      <c r="D484" s="3"/>
      <c r="E484" s="1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17"/>
      <c r="C485" s="3"/>
      <c r="D485" s="3"/>
      <c r="E485" s="1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17"/>
      <c r="C486" s="3"/>
      <c r="D486" s="3"/>
      <c r="E486" s="1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17"/>
      <c r="C487" s="3"/>
      <c r="D487" s="3"/>
      <c r="E487" s="1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17"/>
      <c r="C488" s="3"/>
      <c r="D488" s="3"/>
      <c r="E488" s="1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17"/>
      <c r="C489" s="3"/>
      <c r="D489" s="3"/>
      <c r="E489" s="1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17"/>
      <c r="C490" s="3"/>
      <c r="D490" s="3"/>
      <c r="E490" s="1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17"/>
      <c r="C491" s="3"/>
      <c r="D491" s="3"/>
      <c r="E491" s="1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17"/>
      <c r="C492" s="3"/>
      <c r="D492" s="3"/>
      <c r="E492" s="1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17"/>
      <c r="C493" s="3"/>
      <c r="D493" s="3"/>
      <c r="E493" s="1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17"/>
      <c r="C494" s="3"/>
      <c r="D494" s="3"/>
      <c r="E494" s="1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17"/>
      <c r="C495" s="3"/>
      <c r="D495" s="3"/>
      <c r="E495" s="1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17"/>
      <c r="C496" s="3"/>
      <c r="D496" s="3"/>
      <c r="E496" s="1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17"/>
      <c r="C497" s="3"/>
      <c r="D497" s="3"/>
      <c r="E497" s="1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17"/>
      <c r="C498" s="3"/>
      <c r="D498" s="3"/>
      <c r="E498" s="1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17"/>
      <c r="C499" s="3"/>
      <c r="D499" s="3"/>
      <c r="E499" s="1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17"/>
      <c r="C500" s="3"/>
      <c r="D500" s="3"/>
      <c r="E500" s="1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17"/>
      <c r="C501" s="3"/>
      <c r="D501" s="3"/>
      <c r="E501" s="1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17"/>
      <c r="C502" s="3"/>
      <c r="D502" s="3"/>
      <c r="E502" s="1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17"/>
      <c r="C503" s="3"/>
      <c r="D503" s="3"/>
      <c r="E503" s="1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17"/>
      <c r="C504" s="3"/>
      <c r="D504" s="3"/>
      <c r="E504" s="1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17"/>
      <c r="C505" s="3"/>
      <c r="D505" s="3"/>
      <c r="E505" s="1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17"/>
      <c r="C506" s="3"/>
      <c r="D506" s="3"/>
      <c r="E506" s="1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17"/>
      <c r="C507" s="3"/>
      <c r="D507" s="3"/>
      <c r="E507" s="1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17"/>
      <c r="C508" s="3"/>
      <c r="D508" s="3"/>
      <c r="E508" s="1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17"/>
      <c r="C509" s="3"/>
      <c r="D509" s="3"/>
      <c r="E509" s="1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17"/>
      <c r="C510" s="3"/>
      <c r="D510" s="3"/>
      <c r="E510" s="1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17"/>
      <c r="C511" s="3"/>
      <c r="D511" s="3"/>
      <c r="E511" s="1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17"/>
      <c r="C512" s="3"/>
      <c r="D512" s="3"/>
      <c r="E512" s="1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17"/>
      <c r="C513" s="3"/>
      <c r="D513" s="3"/>
      <c r="E513" s="1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17"/>
      <c r="C514" s="3"/>
      <c r="D514" s="3"/>
      <c r="E514" s="1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17"/>
      <c r="C515" s="3"/>
      <c r="D515" s="3"/>
      <c r="E515" s="1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17"/>
      <c r="C516" s="3"/>
      <c r="D516" s="3"/>
      <c r="E516" s="1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17"/>
      <c r="C517" s="3"/>
      <c r="D517" s="3"/>
      <c r="E517" s="1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17"/>
      <c r="C518" s="3"/>
      <c r="D518" s="3"/>
      <c r="E518" s="1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17"/>
      <c r="C519" s="3"/>
      <c r="D519" s="3"/>
      <c r="E519" s="1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17"/>
      <c r="C520" s="3"/>
      <c r="D520" s="3"/>
      <c r="E520" s="1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17"/>
      <c r="C521" s="3"/>
      <c r="D521" s="3"/>
      <c r="E521" s="1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17"/>
      <c r="C522" s="3"/>
      <c r="D522" s="3"/>
      <c r="E522" s="1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17"/>
      <c r="C523" s="3"/>
      <c r="D523" s="3"/>
      <c r="E523" s="1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17"/>
      <c r="C524" s="3"/>
      <c r="D524" s="3"/>
      <c r="E524" s="1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17"/>
      <c r="C525" s="3"/>
      <c r="D525" s="3"/>
      <c r="E525" s="1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17"/>
      <c r="C526" s="3"/>
      <c r="D526" s="3"/>
      <c r="E526" s="1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17"/>
      <c r="C527" s="3"/>
      <c r="D527" s="3"/>
      <c r="E527" s="1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17"/>
      <c r="C528" s="3"/>
      <c r="D528" s="3"/>
      <c r="E528" s="1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17"/>
      <c r="C529" s="3"/>
      <c r="D529" s="3"/>
      <c r="E529" s="1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17"/>
      <c r="C530" s="3"/>
      <c r="D530" s="3"/>
      <c r="E530" s="1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17"/>
      <c r="C531" s="3"/>
      <c r="D531" s="3"/>
      <c r="E531" s="1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17"/>
      <c r="C532" s="3"/>
      <c r="D532" s="3"/>
      <c r="E532" s="1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17"/>
      <c r="C533" s="3"/>
      <c r="D533" s="3"/>
      <c r="E533" s="1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17"/>
      <c r="C534" s="3"/>
      <c r="D534" s="3"/>
      <c r="E534" s="1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17"/>
      <c r="C535" s="3"/>
      <c r="D535" s="3"/>
      <c r="E535" s="1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17"/>
      <c r="C536" s="3"/>
      <c r="D536" s="3"/>
      <c r="E536" s="1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17"/>
      <c r="C537" s="3"/>
      <c r="D537" s="3"/>
      <c r="E537" s="1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17"/>
      <c r="C538" s="3"/>
      <c r="D538" s="3"/>
      <c r="E538" s="1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17"/>
      <c r="C539" s="3"/>
      <c r="D539" s="3"/>
      <c r="E539" s="1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17"/>
      <c r="C540" s="3"/>
      <c r="D540" s="3"/>
      <c r="E540" s="1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17"/>
      <c r="C541" s="3"/>
      <c r="D541" s="3"/>
      <c r="E541" s="1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17"/>
      <c r="C542" s="3"/>
      <c r="D542" s="3"/>
      <c r="E542" s="1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17"/>
      <c r="C543" s="3"/>
      <c r="D543" s="3"/>
      <c r="E543" s="1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17"/>
      <c r="C544" s="3"/>
      <c r="D544" s="3"/>
      <c r="E544" s="1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17"/>
      <c r="C545" s="3"/>
      <c r="D545" s="3"/>
      <c r="E545" s="1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17"/>
      <c r="C546" s="3"/>
      <c r="D546" s="3"/>
      <c r="E546" s="1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17"/>
      <c r="C547" s="3"/>
      <c r="D547" s="3"/>
      <c r="E547" s="1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17"/>
      <c r="C548" s="3"/>
      <c r="D548" s="3"/>
      <c r="E548" s="1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17"/>
      <c r="C549" s="3"/>
      <c r="D549" s="3"/>
      <c r="E549" s="1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17"/>
      <c r="C550" s="3"/>
      <c r="D550" s="3"/>
      <c r="E550" s="1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17"/>
      <c r="C551" s="3"/>
      <c r="D551" s="3"/>
      <c r="E551" s="1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17"/>
      <c r="C552" s="3"/>
      <c r="D552" s="3"/>
      <c r="E552" s="1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17"/>
      <c r="C553" s="3"/>
      <c r="D553" s="3"/>
      <c r="E553" s="1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17"/>
      <c r="C554" s="3"/>
      <c r="D554" s="3"/>
      <c r="E554" s="1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17"/>
      <c r="C555" s="3"/>
      <c r="D555" s="3"/>
      <c r="E555" s="1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17"/>
      <c r="C556" s="3"/>
      <c r="D556" s="3"/>
      <c r="E556" s="1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17"/>
      <c r="C557" s="3"/>
      <c r="D557" s="3"/>
      <c r="E557" s="1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17"/>
      <c r="C558" s="3"/>
      <c r="D558" s="3"/>
      <c r="E558" s="1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17"/>
      <c r="C559" s="3"/>
      <c r="D559" s="3"/>
      <c r="E559" s="1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17"/>
      <c r="C560" s="3"/>
      <c r="D560" s="3"/>
      <c r="E560" s="1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17"/>
      <c r="C561" s="3"/>
      <c r="D561" s="3"/>
      <c r="E561" s="1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17"/>
      <c r="C562" s="3"/>
      <c r="D562" s="3"/>
      <c r="E562" s="1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17"/>
      <c r="C563" s="3"/>
      <c r="D563" s="3"/>
      <c r="E563" s="1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17"/>
      <c r="C564" s="3"/>
      <c r="D564" s="3"/>
      <c r="E564" s="1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17"/>
      <c r="C565" s="3"/>
      <c r="D565" s="3"/>
      <c r="E565" s="1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17"/>
      <c r="C566" s="3"/>
      <c r="D566" s="3"/>
      <c r="E566" s="1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17"/>
      <c r="C567" s="3"/>
      <c r="D567" s="3"/>
      <c r="E567" s="1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17"/>
      <c r="C568" s="3"/>
      <c r="D568" s="3"/>
      <c r="E568" s="1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17"/>
      <c r="C569" s="3"/>
      <c r="D569" s="3"/>
      <c r="E569" s="1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17"/>
      <c r="C570" s="3"/>
      <c r="D570" s="3"/>
      <c r="E570" s="1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17"/>
      <c r="C571" s="3"/>
      <c r="D571" s="3"/>
      <c r="E571" s="1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17"/>
      <c r="C572" s="3"/>
      <c r="D572" s="3"/>
      <c r="E572" s="1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17"/>
      <c r="C573" s="3"/>
      <c r="D573" s="3"/>
      <c r="E573" s="1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17"/>
      <c r="C574" s="3"/>
      <c r="D574" s="3"/>
      <c r="E574" s="1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17"/>
      <c r="C575" s="3"/>
      <c r="D575" s="3"/>
      <c r="E575" s="1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17"/>
      <c r="C576" s="3"/>
      <c r="D576" s="3"/>
      <c r="E576" s="1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17"/>
      <c r="C577" s="3"/>
      <c r="D577" s="3"/>
      <c r="E577" s="1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17"/>
      <c r="C578" s="3"/>
      <c r="D578" s="3"/>
      <c r="E578" s="1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17"/>
      <c r="C579" s="3"/>
      <c r="D579" s="3"/>
      <c r="E579" s="1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17"/>
      <c r="C580" s="3"/>
      <c r="D580" s="3"/>
      <c r="E580" s="1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17"/>
      <c r="C581" s="3"/>
      <c r="D581" s="3"/>
      <c r="E581" s="1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17"/>
      <c r="C582" s="3"/>
      <c r="D582" s="3"/>
      <c r="E582" s="1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17"/>
      <c r="C583" s="3"/>
      <c r="D583" s="3"/>
      <c r="E583" s="1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17"/>
      <c r="C584" s="3"/>
      <c r="D584" s="3"/>
      <c r="E584" s="1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17"/>
      <c r="C585" s="3"/>
      <c r="D585" s="3"/>
      <c r="E585" s="1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17"/>
      <c r="C586" s="3"/>
      <c r="D586" s="3"/>
      <c r="E586" s="1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17"/>
      <c r="C587" s="3"/>
      <c r="D587" s="3"/>
      <c r="E587" s="1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17"/>
      <c r="C588" s="3"/>
      <c r="D588" s="3"/>
      <c r="E588" s="1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17"/>
      <c r="C589" s="3"/>
      <c r="D589" s="3"/>
      <c r="E589" s="1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17"/>
      <c r="C590" s="3"/>
      <c r="D590" s="3"/>
      <c r="E590" s="1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17"/>
      <c r="C591" s="3"/>
      <c r="D591" s="3"/>
      <c r="E591" s="1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17"/>
      <c r="C592" s="3"/>
      <c r="D592" s="3"/>
      <c r="E592" s="1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17"/>
      <c r="C593" s="3"/>
      <c r="D593" s="3"/>
      <c r="E593" s="1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17"/>
      <c r="C594" s="3"/>
      <c r="D594" s="3"/>
      <c r="E594" s="1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17"/>
      <c r="C595" s="3"/>
      <c r="D595" s="3"/>
      <c r="E595" s="1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17"/>
      <c r="C596" s="3"/>
      <c r="D596" s="3"/>
      <c r="E596" s="1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17"/>
      <c r="C597" s="3"/>
      <c r="D597" s="3"/>
      <c r="E597" s="1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17"/>
      <c r="C598" s="3"/>
      <c r="D598" s="3"/>
      <c r="E598" s="1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17"/>
      <c r="C599" s="3"/>
      <c r="D599" s="3"/>
      <c r="E599" s="1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17"/>
      <c r="C600" s="3"/>
      <c r="D600" s="3"/>
      <c r="E600" s="1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17"/>
      <c r="C601" s="3"/>
      <c r="D601" s="3"/>
      <c r="E601" s="1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17"/>
      <c r="C602" s="3"/>
      <c r="D602" s="3"/>
      <c r="E602" s="1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17"/>
      <c r="C603" s="3"/>
      <c r="D603" s="3"/>
      <c r="E603" s="1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17"/>
      <c r="C604" s="3"/>
      <c r="D604" s="3"/>
      <c r="E604" s="1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17"/>
      <c r="C605" s="3"/>
      <c r="D605" s="3"/>
      <c r="E605" s="1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17"/>
      <c r="C606" s="3"/>
      <c r="D606" s="3"/>
      <c r="E606" s="1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17"/>
      <c r="C607" s="3"/>
      <c r="D607" s="3"/>
      <c r="E607" s="1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17"/>
      <c r="C608" s="3"/>
      <c r="D608" s="3"/>
      <c r="E608" s="1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17"/>
      <c r="C609" s="3"/>
      <c r="D609" s="3"/>
      <c r="E609" s="1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17"/>
      <c r="C610" s="3"/>
      <c r="D610" s="3"/>
      <c r="E610" s="1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17"/>
      <c r="C611" s="3"/>
      <c r="D611" s="3"/>
      <c r="E611" s="1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17"/>
      <c r="C612" s="3"/>
      <c r="D612" s="3"/>
      <c r="E612" s="1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17"/>
      <c r="C613" s="3"/>
      <c r="D613" s="3"/>
      <c r="E613" s="1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17"/>
      <c r="C614" s="3"/>
      <c r="D614" s="3"/>
      <c r="E614" s="1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17"/>
      <c r="C615" s="3"/>
      <c r="D615" s="3"/>
      <c r="E615" s="1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17"/>
      <c r="C616" s="3"/>
      <c r="D616" s="3"/>
      <c r="E616" s="1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17"/>
      <c r="C617" s="3"/>
      <c r="D617" s="3"/>
      <c r="E617" s="1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17"/>
      <c r="C618" s="3"/>
      <c r="D618" s="3"/>
      <c r="E618" s="1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17"/>
      <c r="C619" s="3"/>
      <c r="D619" s="3"/>
      <c r="E619" s="1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17"/>
      <c r="C620" s="3"/>
      <c r="D620" s="3"/>
      <c r="E620" s="1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17"/>
      <c r="C621" s="3"/>
      <c r="D621" s="3"/>
      <c r="E621" s="1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17"/>
      <c r="C622" s="3"/>
      <c r="D622" s="3"/>
      <c r="E622" s="1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17"/>
      <c r="C623" s="3"/>
      <c r="D623" s="3"/>
      <c r="E623" s="1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17"/>
      <c r="C624" s="3"/>
      <c r="D624" s="3"/>
      <c r="E624" s="1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17"/>
      <c r="C625" s="3"/>
      <c r="D625" s="3"/>
      <c r="E625" s="1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17"/>
      <c r="C626" s="3"/>
      <c r="D626" s="3"/>
      <c r="E626" s="1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17"/>
      <c r="C627" s="3"/>
      <c r="D627" s="3"/>
      <c r="E627" s="1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17"/>
      <c r="C628" s="3"/>
      <c r="D628" s="3"/>
      <c r="E628" s="1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17"/>
      <c r="C629" s="3"/>
      <c r="D629" s="3"/>
      <c r="E629" s="1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17"/>
      <c r="C630" s="3"/>
      <c r="D630" s="3"/>
      <c r="E630" s="1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17"/>
      <c r="C631" s="3"/>
      <c r="D631" s="3"/>
      <c r="E631" s="1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17"/>
      <c r="C632" s="3"/>
      <c r="D632" s="3"/>
      <c r="E632" s="1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17"/>
      <c r="C633" s="3"/>
      <c r="D633" s="3"/>
      <c r="E633" s="1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17"/>
      <c r="C634" s="3"/>
      <c r="D634" s="3"/>
      <c r="E634" s="1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17"/>
      <c r="C635" s="3"/>
      <c r="D635" s="3"/>
      <c r="E635" s="1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17"/>
      <c r="C636" s="3"/>
      <c r="D636" s="3"/>
      <c r="E636" s="1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17"/>
      <c r="C637" s="3"/>
      <c r="D637" s="3"/>
      <c r="E637" s="1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17"/>
      <c r="C638" s="3"/>
      <c r="D638" s="3"/>
      <c r="E638" s="1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17"/>
      <c r="C639" s="3"/>
      <c r="D639" s="3"/>
      <c r="E639" s="1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17"/>
      <c r="C640" s="3"/>
      <c r="D640" s="3"/>
      <c r="E640" s="1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17"/>
      <c r="C641" s="3"/>
      <c r="D641" s="3"/>
      <c r="E641" s="1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17"/>
      <c r="C642" s="3"/>
      <c r="D642" s="3"/>
      <c r="E642" s="1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17"/>
      <c r="C643" s="3"/>
      <c r="D643" s="3"/>
      <c r="E643" s="1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17"/>
      <c r="C644" s="3"/>
      <c r="D644" s="3"/>
      <c r="E644" s="1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17"/>
      <c r="C645" s="3"/>
      <c r="D645" s="3"/>
      <c r="E645" s="1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17"/>
      <c r="C646" s="3"/>
      <c r="D646" s="3"/>
      <c r="E646" s="1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17"/>
      <c r="C647" s="3"/>
      <c r="D647" s="3"/>
      <c r="E647" s="1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17"/>
      <c r="C648" s="3"/>
      <c r="D648" s="3"/>
      <c r="E648" s="1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17"/>
      <c r="C649" s="3"/>
      <c r="D649" s="3"/>
      <c r="E649" s="1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17"/>
      <c r="C650" s="3"/>
      <c r="D650" s="3"/>
      <c r="E650" s="1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17"/>
      <c r="C651" s="3"/>
      <c r="D651" s="3"/>
      <c r="E651" s="1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17"/>
      <c r="C652" s="3"/>
      <c r="D652" s="3"/>
      <c r="E652" s="1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17"/>
      <c r="C653" s="3"/>
      <c r="D653" s="3"/>
      <c r="E653" s="1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17"/>
      <c r="C654" s="3"/>
      <c r="D654" s="3"/>
      <c r="E654" s="1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17"/>
      <c r="C655" s="3"/>
      <c r="D655" s="3"/>
      <c r="E655" s="1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17"/>
      <c r="C656" s="3"/>
      <c r="D656" s="3"/>
      <c r="E656" s="1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17"/>
      <c r="C657" s="3"/>
      <c r="D657" s="3"/>
      <c r="E657" s="1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17"/>
      <c r="C658" s="3"/>
      <c r="D658" s="3"/>
      <c r="E658" s="1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17"/>
      <c r="C659" s="3"/>
      <c r="D659" s="3"/>
      <c r="E659" s="1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17"/>
      <c r="C660" s="3"/>
      <c r="D660" s="3"/>
      <c r="E660" s="1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17"/>
      <c r="C661" s="3"/>
      <c r="D661" s="3"/>
      <c r="E661" s="1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17"/>
      <c r="C662" s="3"/>
      <c r="D662" s="3"/>
      <c r="E662" s="1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17"/>
      <c r="C663" s="3"/>
      <c r="D663" s="3"/>
      <c r="E663" s="1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17"/>
      <c r="C664" s="3"/>
      <c r="D664" s="3"/>
      <c r="E664" s="1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17"/>
      <c r="C665" s="3"/>
      <c r="D665" s="3"/>
      <c r="E665" s="1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17"/>
      <c r="C666" s="3"/>
      <c r="D666" s="3"/>
      <c r="E666" s="1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17"/>
      <c r="C667" s="3"/>
      <c r="D667" s="3"/>
      <c r="E667" s="1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17"/>
      <c r="C668" s="3"/>
      <c r="D668" s="3"/>
      <c r="E668" s="1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17"/>
      <c r="C669" s="3"/>
      <c r="D669" s="3"/>
      <c r="E669" s="1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17"/>
      <c r="C670" s="3"/>
      <c r="D670" s="3"/>
      <c r="E670" s="1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17"/>
      <c r="C671" s="3"/>
      <c r="D671" s="3"/>
      <c r="E671" s="1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17"/>
      <c r="C672" s="3"/>
      <c r="D672" s="3"/>
      <c r="E672" s="1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17"/>
      <c r="C673" s="3"/>
      <c r="D673" s="3"/>
      <c r="E673" s="1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17"/>
      <c r="C674" s="3"/>
      <c r="D674" s="3"/>
      <c r="E674" s="1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17"/>
      <c r="C675" s="3"/>
      <c r="D675" s="3"/>
      <c r="E675" s="1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17"/>
      <c r="C676" s="3"/>
      <c r="D676" s="3"/>
      <c r="E676" s="1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17"/>
      <c r="C677" s="3"/>
      <c r="D677" s="3"/>
      <c r="E677" s="1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17"/>
      <c r="C678" s="3"/>
      <c r="D678" s="3"/>
      <c r="E678" s="1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17"/>
      <c r="C679" s="3"/>
      <c r="D679" s="3"/>
      <c r="E679" s="1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17"/>
      <c r="C680" s="3"/>
      <c r="D680" s="3"/>
      <c r="E680" s="1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17"/>
      <c r="C681" s="3"/>
      <c r="D681" s="3"/>
      <c r="E681" s="1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17"/>
      <c r="C682" s="3"/>
      <c r="D682" s="3"/>
      <c r="E682" s="1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17"/>
      <c r="C683" s="3"/>
      <c r="D683" s="3"/>
      <c r="E683" s="1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17"/>
      <c r="C684" s="3"/>
      <c r="D684" s="3"/>
      <c r="E684" s="1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17"/>
      <c r="C685" s="3"/>
      <c r="D685" s="3"/>
      <c r="E685" s="1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17"/>
      <c r="C686" s="3"/>
      <c r="D686" s="3"/>
      <c r="E686" s="1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17"/>
      <c r="C687" s="3"/>
      <c r="D687" s="3"/>
      <c r="E687" s="1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17"/>
      <c r="C688" s="3"/>
      <c r="D688" s="3"/>
      <c r="E688" s="1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17"/>
      <c r="C689" s="3"/>
      <c r="D689" s="3"/>
      <c r="E689" s="1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17"/>
      <c r="C690" s="3"/>
      <c r="D690" s="3"/>
      <c r="E690" s="1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17"/>
      <c r="C691" s="3"/>
      <c r="D691" s="3"/>
      <c r="E691" s="1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17"/>
      <c r="C692" s="3"/>
      <c r="D692" s="3"/>
      <c r="E692" s="1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17"/>
      <c r="C693" s="3"/>
      <c r="D693" s="3"/>
      <c r="E693" s="1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17"/>
      <c r="C694" s="3"/>
      <c r="D694" s="3"/>
      <c r="E694" s="1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17"/>
      <c r="C695" s="3"/>
      <c r="D695" s="3"/>
      <c r="E695" s="1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17"/>
      <c r="C696" s="3"/>
      <c r="D696" s="3"/>
      <c r="E696" s="1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17"/>
      <c r="C697" s="3"/>
      <c r="D697" s="3"/>
      <c r="E697" s="1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17"/>
      <c r="C698" s="3"/>
      <c r="D698" s="3"/>
      <c r="E698" s="1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17"/>
      <c r="C699" s="3"/>
      <c r="D699" s="3"/>
      <c r="E699" s="1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17"/>
      <c r="C700" s="3"/>
      <c r="D700" s="3"/>
      <c r="E700" s="1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17"/>
      <c r="C701" s="3"/>
      <c r="D701" s="3"/>
      <c r="E701" s="1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17"/>
      <c r="C702" s="3"/>
      <c r="D702" s="3"/>
      <c r="E702" s="1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17"/>
      <c r="C703" s="3"/>
      <c r="D703" s="3"/>
      <c r="E703" s="1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17"/>
      <c r="C704" s="3"/>
      <c r="D704" s="3"/>
      <c r="E704" s="1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17"/>
      <c r="C705" s="3"/>
      <c r="D705" s="3"/>
      <c r="E705" s="1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17"/>
      <c r="C706" s="3"/>
      <c r="D706" s="3"/>
      <c r="E706" s="1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17"/>
      <c r="C707" s="3"/>
      <c r="D707" s="3"/>
      <c r="E707" s="1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17"/>
      <c r="C708" s="3"/>
      <c r="D708" s="3"/>
      <c r="E708" s="1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17"/>
      <c r="C709" s="3"/>
      <c r="D709" s="3"/>
      <c r="E709" s="1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17"/>
      <c r="C710" s="3"/>
      <c r="D710" s="3"/>
      <c r="E710" s="1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17"/>
      <c r="C711" s="3"/>
      <c r="D711" s="3"/>
      <c r="E711" s="1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17"/>
      <c r="C712" s="3"/>
      <c r="D712" s="3"/>
      <c r="E712" s="1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17"/>
      <c r="C713" s="3"/>
      <c r="D713" s="3"/>
      <c r="E713" s="1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17"/>
      <c r="C714" s="3"/>
      <c r="D714" s="3"/>
      <c r="E714" s="1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17"/>
      <c r="C715" s="3"/>
      <c r="D715" s="3"/>
      <c r="E715" s="1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17"/>
      <c r="C716" s="3"/>
      <c r="D716" s="3"/>
      <c r="E716" s="1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17"/>
      <c r="C717" s="3"/>
      <c r="D717" s="3"/>
      <c r="E717" s="1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17"/>
      <c r="C718" s="3"/>
      <c r="D718" s="3"/>
      <c r="E718" s="1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17"/>
      <c r="C719" s="3"/>
      <c r="D719" s="3"/>
      <c r="E719" s="1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17"/>
      <c r="C720" s="3"/>
      <c r="D720" s="3"/>
      <c r="E720" s="1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17"/>
      <c r="C721" s="3"/>
      <c r="D721" s="3"/>
      <c r="E721" s="1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17"/>
      <c r="C722" s="3"/>
      <c r="D722" s="3"/>
      <c r="E722" s="1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17"/>
      <c r="C723" s="3"/>
      <c r="D723" s="3"/>
      <c r="E723" s="1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17"/>
      <c r="C724" s="3"/>
      <c r="D724" s="3"/>
      <c r="E724" s="1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17"/>
      <c r="C725" s="3"/>
      <c r="D725" s="3"/>
      <c r="E725" s="1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17"/>
      <c r="C726" s="3"/>
      <c r="D726" s="3"/>
      <c r="E726" s="1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17"/>
      <c r="C727" s="3"/>
      <c r="D727" s="3"/>
      <c r="E727" s="1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17"/>
      <c r="C728" s="3"/>
      <c r="D728" s="3"/>
      <c r="E728" s="1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17"/>
      <c r="C729" s="3"/>
      <c r="D729" s="3"/>
      <c r="E729" s="1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17"/>
      <c r="C730" s="3"/>
      <c r="D730" s="3"/>
      <c r="E730" s="1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17"/>
      <c r="C731" s="3"/>
      <c r="D731" s="3"/>
      <c r="E731" s="1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17"/>
      <c r="C732" s="3"/>
      <c r="D732" s="3"/>
      <c r="E732" s="1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17"/>
      <c r="C733" s="3"/>
      <c r="D733" s="3"/>
      <c r="E733" s="1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17"/>
      <c r="C734" s="3"/>
      <c r="D734" s="3"/>
      <c r="E734" s="1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17"/>
      <c r="C735" s="3"/>
      <c r="D735" s="3"/>
      <c r="E735" s="1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17"/>
      <c r="C736" s="3"/>
      <c r="D736" s="3"/>
      <c r="E736" s="1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17"/>
      <c r="C737" s="3"/>
      <c r="D737" s="3"/>
      <c r="E737" s="1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17"/>
      <c r="C738" s="3"/>
      <c r="D738" s="3"/>
      <c r="E738" s="1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17"/>
      <c r="C739" s="3"/>
      <c r="D739" s="3"/>
      <c r="E739" s="1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17"/>
      <c r="C740" s="3"/>
      <c r="D740" s="3"/>
      <c r="E740" s="1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17"/>
      <c r="C741" s="3"/>
      <c r="D741" s="3"/>
      <c r="E741" s="1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17"/>
      <c r="C742" s="3"/>
      <c r="D742" s="3"/>
      <c r="E742" s="1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17"/>
      <c r="C743" s="3"/>
      <c r="D743" s="3"/>
      <c r="E743" s="1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17"/>
      <c r="C744" s="3"/>
      <c r="D744" s="3"/>
      <c r="E744" s="1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17"/>
      <c r="C745" s="3"/>
      <c r="D745" s="3"/>
      <c r="E745" s="1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17"/>
      <c r="C746" s="3"/>
      <c r="D746" s="3"/>
      <c r="E746" s="1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17"/>
      <c r="C747" s="3"/>
      <c r="D747" s="3"/>
      <c r="E747" s="1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17"/>
      <c r="C748" s="3"/>
      <c r="D748" s="3"/>
      <c r="E748" s="1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17"/>
      <c r="C749" s="3"/>
      <c r="D749" s="3"/>
      <c r="E749" s="1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17"/>
      <c r="C750" s="3"/>
      <c r="D750" s="3"/>
      <c r="E750" s="1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17"/>
      <c r="C751" s="3"/>
      <c r="D751" s="3"/>
      <c r="E751" s="1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17"/>
      <c r="C752" s="3"/>
      <c r="D752" s="3"/>
      <c r="E752" s="1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17"/>
      <c r="C753" s="3"/>
      <c r="D753" s="3"/>
      <c r="E753" s="1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17"/>
      <c r="C754" s="3"/>
      <c r="D754" s="3"/>
      <c r="E754" s="1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17"/>
      <c r="C755" s="3"/>
      <c r="D755" s="3"/>
      <c r="E755" s="1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17"/>
      <c r="C756" s="3"/>
      <c r="D756" s="3"/>
      <c r="E756" s="1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17"/>
      <c r="C757" s="3"/>
      <c r="D757" s="3"/>
      <c r="E757" s="1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17"/>
      <c r="C758" s="3"/>
      <c r="D758" s="3"/>
      <c r="E758" s="1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17"/>
      <c r="C759" s="3"/>
      <c r="D759" s="3"/>
      <c r="E759" s="1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17"/>
      <c r="C760" s="3"/>
      <c r="D760" s="3"/>
      <c r="E760" s="1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17"/>
      <c r="C761" s="3"/>
      <c r="D761" s="3"/>
      <c r="E761" s="1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17"/>
      <c r="C762" s="3"/>
      <c r="D762" s="3"/>
      <c r="E762" s="1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17"/>
      <c r="C763" s="3"/>
      <c r="D763" s="3"/>
      <c r="E763" s="1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17"/>
      <c r="C764" s="3"/>
      <c r="D764" s="3"/>
      <c r="E764" s="1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17"/>
      <c r="C765" s="3"/>
      <c r="D765" s="3"/>
      <c r="E765" s="1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17"/>
      <c r="C766" s="3"/>
      <c r="D766" s="3"/>
      <c r="E766" s="1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17"/>
      <c r="C767" s="3"/>
      <c r="D767" s="3"/>
      <c r="E767" s="1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17"/>
      <c r="C768" s="3"/>
      <c r="D768" s="3"/>
      <c r="E768" s="1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17"/>
      <c r="C769" s="3"/>
      <c r="D769" s="3"/>
      <c r="E769" s="1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17"/>
      <c r="C770" s="3"/>
      <c r="D770" s="3"/>
      <c r="E770" s="1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17"/>
      <c r="C771" s="3"/>
      <c r="D771" s="3"/>
      <c r="E771" s="1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17"/>
      <c r="C772" s="3"/>
      <c r="D772" s="3"/>
      <c r="E772" s="1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17"/>
      <c r="C773" s="3"/>
      <c r="D773" s="3"/>
      <c r="E773" s="1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17"/>
      <c r="C774" s="3"/>
      <c r="D774" s="3"/>
      <c r="E774" s="1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17"/>
      <c r="C775" s="3"/>
      <c r="D775" s="3"/>
      <c r="E775" s="1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17"/>
      <c r="C776" s="3"/>
      <c r="D776" s="3"/>
      <c r="E776" s="1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17"/>
      <c r="C777" s="3"/>
      <c r="D777" s="3"/>
      <c r="E777" s="1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17"/>
      <c r="C778" s="3"/>
      <c r="D778" s="3"/>
      <c r="E778" s="1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17"/>
      <c r="C779" s="3"/>
      <c r="D779" s="3"/>
      <c r="E779" s="1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17"/>
      <c r="C780" s="3"/>
      <c r="D780" s="3"/>
      <c r="E780" s="1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17"/>
      <c r="C781" s="3"/>
      <c r="D781" s="3"/>
      <c r="E781" s="1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17"/>
      <c r="C782" s="3"/>
      <c r="D782" s="3"/>
      <c r="E782" s="1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17"/>
      <c r="C783" s="3"/>
      <c r="D783" s="3"/>
      <c r="E783" s="1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17"/>
      <c r="C784" s="3"/>
      <c r="D784" s="3"/>
      <c r="E784" s="1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17"/>
      <c r="C785" s="3"/>
      <c r="D785" s="3"/>
      <c r="E785" s="1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17"/>
      <c r="C786" s="3"/>
      <c r="D786" s="3"/>
      <c r="E786" s="1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17"/>
      <c r="C787" s="3"/>
      <c r="D787" s="3"/>
      <c r="E787" s="1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17"/>
      <c r="C788" s="3"/>
      <c r="D788" s="3"/>
      <c r="E788" s="1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17"/>
      <c r="C789" s="3"/>
      <c r="D789" s="3"/>
      <c r="E789" s="1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17"/>
      <c r="C790" s="3"/>
      <c r="D790" s="3"/>
      <c r="E790" s="1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17"/>
      <c r="C791" s="3"/>
      <c r="D791" s="3"/>
      <c r="E791" s="1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17"/>
      <c r="C792" s="3"/>
      <c r="D792" s="3"/>
      <c r="E792" s="1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17"/>
      <c r="C793" s="3"/>
      <c r="D793" s="3"/>
      <c r="E793" s="1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17"/>
      <c r="C794" s="3"/>
      <c r="D794" s="3"/>
      <c r="E794" s="1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17"/>
      <c r="C795" s="3"/>
      <c r="D795" s="3"/>
      <c r="E795" s="1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17"/>
      <c r="C796" s="3"/>
      <c r="D796" s="3"/>
      <c r="E796" s="1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17"/>
      <c r="C797" s="3"/>
      <c r="D797" s="3"/>
      <c r="E797" s="1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17"/>
      <c r="C798" s="3"/>
      <c r="D798" s="3"/>
      <c r="E798" s="1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17"/>
      <c r="C799" s="3"/>
      <c r="D799" s="3"/>
      <c r="E799" s="1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17"/>
      <c r="C800" s="3"/>
      <c r="D800" s="3"/>
      <c r="E800" s="1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17"/>
      <c r="C801" s="3"/>
      <c r="D801" s="3"/>
      <c r="E801" s="1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17"/>
      <c r="C802" s="3"/>
      <c r="D802" s="3"/>
      <c r="E802" s="1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17"/>
      <c r="C803" s="3"/>
      <c r="D803" s="3"/>
      <c r="E803" s="1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17"/>
      <c r="C804" s="3"/>
      <c r="D804" s="3"/>
      <c r="E804" s="1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17"/>
      <c r="C805" s="3"/>
      <c r="D805" s="3"/>
      <c r="E805" s="1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17"/>
      <c r="C806" s="3"/>
      <c r="D806" s="3"/>
      <c r="E806" s="1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17"/>
      <c r="C807" s="3"/>
      <c r="D807" s="3"/>
      <c r="E807" s="1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17"/>
      <c r="C808" s="3"/>
      <c r="D808" s="3"/>
      <c r="E808" s="1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17"/>
      <c r="C809" s="3"/>
      <c r="D809" s="3"/>
      <c r="E809" s="1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17"/>
      <c r="C810" s="3"/>
      <c r="D810" s="3"/>
      <c r="E810" s="1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17"/>
      <c r="C811" s="3"/>
      <c r="D811" s="3"/>
      <c r="E811" s="1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17"/>
      <c r="C812" s="3"/>
      <c r="D812" s="3"/>
      <c r="E812" s="1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17"/>
      <c r="C813" s="3"/>
      <c r="D813" s="3"/>
      <c r="E813" s="1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17"/>
      <c r="C814" s="3"/>
      <c r="D814" s="3"/>
      <c r="E814" s="1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17"/>
      <c r="C815" s="3"/>
      <c r="D815" s="3"/>
      <c r="E815" s="1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17"/>
      <c r="C816" s="3"/>
      <c r="D816" s="3"/>
      <c r="E816" s="1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17"/>
      <c r="C817" s="3"/>
      <c r="D817" s="3"/>
      <c r="E817" s="1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17"/>
      <c r="C818" s="3"/>
      <c r="D818" s="3"/>
      <c r="E818" s="1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17"/>
      <c r="C819" s="3"/>
      <c r="D819" s="3"/>
      <c r="E819" s="1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17"/>
      <c r="C820" s="3"/>
      <c r="D820" s="3"/>
      <c r="E820" s="1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17"/>
      <c r="C821" s="3"/>
      <c r="D821" s="3"/>
      <c r="E821" s="1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17"/>
      <c r="C822" s="3"/>
      <c r="D822" s="3"/>
      <c r="E822" s="1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17"/>
      <c r="C823" s="3"/>
      <c r="D823" s="3"/>
      <c r="E823" s="1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17"/>
      <c r="C824" s="3"/>
      <c r="D824" s="3"/>
      <c r="E824" s="1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17"/>
      <c r="C825" s="3"/>
      <c r="D825" s="3"/>
      <c r="E825" s="1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17"/>
      <c r="C826" s="3"/>
      <c r="D826" s="3"/>
      <c r="E826" s="1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17"/>
      <c r="C827" s="3"/>
      <c r="D827" s="3"/>
      <c r="E827" s="1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17"/>
      <c r="C828" s="3"/>
      <c r="D828" s="3"/>
      <c r="E828" s="1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17"/>
      <c r="C829" s="3"/>
      <c r="D829" s="3"/>
      <c r="E829" s="1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17"/>
      <c r="C830" s="3"/>
      <c r="D830" s="3"/>
      <c r="E830" s="1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17"/>
      <c r="C831" s="3"/>
      <c r="D831" s="3"/>
      <c r="E831" s="1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17"/>
      <c r="C832" s="3"/>
      <c r="D832" s="3"/>
      <c r="E832" s="1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17"/>
      <c r="C833" s="3"/>
      <c r="D833" s="3"/>
      <c r="E833" s="1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17"/>
      <c r="C834" s="3"/>
      <c r="D834" s="3"/>
      <c r="E834" s="1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17"/>
      <c r="C835" s="3"/>
      <c r="D835" s="3"/>
      <c r="E835" s="1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17"/>
      <c r="C836" s="3"/>
      <c r="D836" s="3"/>
      <c r="E836" s="1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17"/>
      <c r="C837" s="3"/>
      <c r="D837" s="3"/>
      <c r="E837" s="1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17"/>
      <c r="C838" s="3"/>
      <c r="D838" s="3"/>
      <c r="E838" s="1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17"/>
      <c r="C839" s="3"/>
      <c r="D839" s="3"/>
      <c r="E839" s="1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17"/>
      <c r="C840" s="3"/>
      <c r="D840" s="3"/>
      <c r="E840" s="1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17"/>
      <c r="C841" s="3"/>
      <c r="D841" s="3"/>
      <c r="E841" s="1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17"/>
      <c r="C842" s="3"/>
      <c r="D842" s="3"/>
      <c r="E842" s="1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17"/>
      <c r="C843" s="3"/>
      <c r="D843" s="3"/>
      <c r="E843" s="1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17"/>
      <c r="C844" s="3"/>
      <c r="D844" s="3"/>
      <c r="E844" s="1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17"/>
      <c r="C845" s="3"/>
      <c r="D845" s="3"/>
      <c r="E845" s="1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17"/>
      <c r="C846" s="3"/>
      <c r="D846" s="3"/>
      <c r="E846" s="1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17"/>
      <c r="C847" s="3"/>
      <c r="D847" s="3"/>
      <c r="E847" s="1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17"/>
      <c r="C848" s="3"/>
      <c r="D848" s="3"/>
      <c r="E848" s="1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17"/>
      <c r="C849" s="3"/>
      <c r="D849" s="3"/>
      <c r="E849" s="1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17"/>
      <c r="C850" s="3"/>
      <c r="D850" s="3"/>
      <c r="E850" s="1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17"/>
      <c r="C851" s="3"/>
      <c r="D851" s="3"/>
      <c r="E851" s="1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17"/>
      <c r="C852" s="3"/>
      <c r="D852" s="3"/>
      <c r="E852" s="1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17"/>
      <c r="C853" s="3"/>
      <c r="D853" s="3"/>
      <c r="E853" s="1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17"/>
      <c r="C854" s="3"/>
      <c r="D854" s="3"/>
      <c r="E854" s="1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17"/>
      <c r="C855" s="3"/>
      <c r="D855" s="3"/>
      <c r="E855" s="1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17"/>
      <c r="C856" s="3"/>
      <c r="D856" s="3"/>
      <c r="E856" s="1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17"/>
      <c r="C857" s="3"/>
      <c r="D857" s="3"/>
      <c r="E857" s="1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17"/>
      <c r="C858" s="3"/>
      <c r="D858" s="3"/>
      <c r="E858" s="1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17"/>
      <c r="C859" s="3"/>
      <c r="D859" s="3"/>
      <c r="E859" s="1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17"/>
      <c r="C860" s="3"/>
      <c r="D860" s="3"/>
      <c r="E860" s="1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17"/>
      <c r="C861" s="3"/>
      <c r="D861" s="3"/>
      <c r="E861" s="1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17"/>
      <c r="C862" s="3"/>
      <c r="D862" s="3"/>
      <c r="E862" s="1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17"/>
      <c r="C863" s="3"/>
      <c r="D863" s="3"/>
      <c r="E863" s="1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17"/>
      <c r="C864" s="3"/>
      <c r="D864" s="3"/>
      <c r="E864" s="1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17"/>
      <c r="C865" s="3"/>
      <c r="D865" s="3"/>
      <c r="E865" s="1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17"/>
      <c r="C866" s="3"/>
      <c r="D866" s="3"/>
      <c r="E866" s="1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17"/>
      <c r="C867" s="3"/>
      <c r="D867" s="3"/>
      <c r="E867" s="1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17"/>
      <c r="C868" s="3"/>
      <c r="D868" s="3"/>
      <c r="E868" s="1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17"/>
      <c r="C869" s="3"/>
      <c r="D869" s="3"/>
      <c r="E869" s="1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17"/>
      <c r="C870" s="3"/>
      <c r="D870" s="3"/>
      <c r="E870" s="1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17"/>
      <c r="C871" s="3"/>
      <c r="D871" s="3"/>
      <c r="E871" s="1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17"/>
      <c r="C872" s="3"/>
      <c r="D872" s="3"/>
      <c r="E872" s="1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17"/>
      <c r="C873" s="3"/>
      <c r="D873" s="3"/>
      <c r="E873" s="1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17"/>
      <c r="C874" s="3"/>
      <c r="D874" s="3"/>
      <c r="E874" s="1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17"/>
      <c r="C875" s="3"/>
      <c r="D875" s="3"/>
      <c r="E875" s="1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17"/>
      <c r="C876" s="3"/>
      <c r="D876" s="3"/>
      <c r="E876" s="1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17"/>
      <c r="C877" s="3"/>
      <c r="D877" s="3"/>
      <c r="E877" s="1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17"/>
      <c r="C878" s="3"/>
      <c r="D878" s="3"/>
      <c r="E878" s="1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17"/>
      <c r="C879" s="3"/>
      <c r="D879" s="3"/>
      <c r="E879" s="1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17"/>
      <c r="C880" s="3"/>
      <c r="D880" s="3"/>
      <c r="E880" s="1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17"/>
      <c r="C881" s="3"/>
      <c r="D881" s="3"/>
      <c r="E881" s="1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17"/>
      <c r="C882" s="3"/>
      <c r="D882" s="3"/>
      <c r="E882" s="1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17"/>
      <c r="C883" s="3"/>
      <c r="D883" s="3"/>
      <c r="E883" s="1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17"/>
      <c r="C884" s="3"/>
      <c r="D884" s="3"/>
      <c r="E884" s="1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17"/>
      <c r="C885" s="3"/>
      <c r="D885" s="3"/>
      <c r="E885" s="1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17"/>
      <c r="C886" s="3"/>
      <c r="D886" s="3"/>
      <c r="E886" s="1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17"/>
      <c r="C887" s="3"/>
      <c r="D887" s="3"/>
      <c r="E887" s="1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17"/>
      <c r="C888" s="3"/>
      <c r="D888" s="3"/>
      <c r="E888" s="1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17"/>
      <c r="C889" s="3"/>
      <c r="D889" s="3"/>
      <c r="E889" s="1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17"/>
      <c r="C890" s="3"/>
      <c r="D890" s="3"/>
      <c r="E890" s="1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17"/>
      <c r="C891" s="3"/>
      <c r="D891" s="3"/>
      <c r="E891" s="1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17"/>
      <c r="C892" s="3"/>
      <c r="D892" s="3"/>
      <c r="E892" s="1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17"/>
      <c r="C893" s="3"/>
      <c r="D893" s="3"/>
      <c r="E893" s="1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17"/>
      <c r="C894" s="3"/>
      <c r="D894" s="3"/>
      <c r="E894" s="1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17"/>
      <c r="C895" s="3"/>
      <c r="D895" s="3"/>
      <c r="E895" s="1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17"/>
      <c r="C896" s="3"/>
      <c r="D896" s="3"/>
      <c r="E896" s="1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17"/>
      <c r="C897" s="3"/>
      <c r="D897" s="3"/>
      <c r="E897" s="1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17"/>
      <c r="C898" s="3"/>
      <c r="D898" s="3"/>
      <c r="E898" s="1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17"/>
      <c r="C899" s="3"/>
      <c r="D899" s="3"/>
      <c r="E899" s="1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17"/>
      <c r="C900" s="3"/>
      <c r="D900" s="3"/>
      <c r="E900" s="1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17"/>
      <c r="C901" s="3"/>
      <c r="D901" s="3"/>
      <c r="E901" s="1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17"/>
      <c r="C902" s="3"/>
      <c r="D902" s="3"/>
      <c r="E902" s="1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17"/>
      <c r="C903" s="3"/>
      <c r="D903" s="3"/>
      <c r="E903" s="1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17"/>
      <c r="C904" s="3"/>
      <c r="D904" s="3"/>
      <c r="E904" s="1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17"/>
      <c r="C905" s="3"/>
      <c r="D905" s="3"/>
      <c r="E905" s="1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17"/>
      <c r="C906" s="3"/>
      <c r="D906" s="3"/>
      <c r="E906" s="1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17"/>
      <c r="C907" s="3"/>
      <c r="D907" s="3"/>
      <c r="E907" s="1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17"/>
      <c r="C908" s="3"/>
      <c r="D908" s="3"/>
      <c r="E908" s="1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17"/>
      <c r="C909" s="3"/>
      <c r="D909" s="3"/>
      <c r="E909" s="1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17"/>
      <c r="C910" s="3"/>
      <c r="D910" s="3"/>
      <c r="E910" s="1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17"/>
      <c r="C911" s="3"/>
      <c r="D911" s="3"/>
      <c r="E911" s="1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17"/>
      <c r="C912" s="3"/>
      <c r="D912" s="3"/>
      <c r="E912" s="1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17"/>
      <c r="C913" s="3"/>
      <c r="D913" s="3"/>
      <c r="E913" s="1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17"/>
      <c r="C914" s="3"/>
      <c r="D914" s="3"/>
      <c r="E914" s="1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17"/>
      <c r="C915" s="3"/>
      <c r="D915" s="3"/>
      <c r="E915" s="1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17"/>
      <c r="C916" s="3"/>
      <c r="D916" s="3"/>
      <c r="E916" s="1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17"/>
      <c r="C917" s="3"/>
      <c r="D917" s="3"/>
      <c r="E917" s="1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17"/>
      <c r="C918" s="3"/>
      <c r="D918" s="3"/>
      <c r="E918" s="1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17"/>
      <c r="C919" s="3"/>
      <c r="D919" s="3"/>
      <c r="E919" s="1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17"/>
      <c r="C920" s="3"/>
      <c r="D920" s="3"/>
      <c r="E920" s="1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17"/>
      <c r="C921" s="3"/>
      <c r="D921" s="3"/>
      <c r="E921" s="1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17"/>
      <c r="C922" s="3"/>
      <c r="D922" s="3"/>
      <c r="E922" s="1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17"/>
      <c r="C923" s="3"/>
      <c r="D923" s="3"/>
      <c r="E923" s="1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17"/>
      <c r="C924" s="3"/>
      <c r="D924" s="3"/>
      <c r="E924" s="1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17"/>
      <c r="C925" s="3"/>
      <c r="D925" s="3"/>
      <c r="E925" s="1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17"/>
      <c r="C926" s="3"/>
      <c r="D926" s="3"/>
      <c r="E926" s="1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17"/>
      <c r="C927" s="3"/>
      <c r="D927" s="3"/>
      <c r="E927" s="1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17"/>
      <c r="C928" s="3"/>
      <c r="D928" s="3"/>
      <c r="E928" s="1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17"/>
      <c r="C929" s="3"/>
      <c r="D929" s="3"/>
      <c r="E929" s="1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17"/>
      <c r="C930" s="3"/>
      <c r="D930" s="3"/>
      <c r="E930" s="1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17"/>
      <c r="C931" s="3"/>
      <c r="D931" s="3"/>
      <c r="E931" s="1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17"/>
      <c r="C932" s="3"/>
      <c r="D932" s="3"/>
      <c r="E932" s="1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17"/>
      <c r="C933" s="3"/>
      <c r="D933" s="3"/>
      <c r="E933" s="1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17"/>
      <c r="C934" s="3"/>
      <c r="D934" s="3"/>
      <c r="E934" s="1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17"/>
      <c r="C935" s="3"/>
      <c r="D935" s="3"/>
      <c r="E935" s="1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17"/>
      <c r="C936" s="3"/>
      <c r="D936" s="3"/>
      <c r="E936" s="1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17"/>
      <c r="C937" s="3"/>
      <c r="D937" s="3"/>
      <c r="E937" s="1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17"/>
      <c r="C938" s="3"/>
      <c r="D938" s="3"/>
      <c r="E938" s="1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17"/>
      <c r="C939" s="3"/>
      <c r="D939" s="3"/>
      <c r="E939" s="1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17"/>
      <c r="C940" s="3"/>
      <c r="D940" s="3"/>
      <c r="E940" s="1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17"/>
      <c r="C941" s="3"/>
      <c r="D941" s="3"/>
      <c r="E941" s="1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17"/>
      <c r="C942" s="3"/>
      <c r="D942" s="3"/>
      <c r="E942" s="1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17"/>
      <c r="C943" s="3"/>
      <c r="D943" s="3"/>
      <c r="E943" s="1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17"/>
      <c r="C944" s="3"/>
      <c r="D944" s="3"/>
      <c r="E944" s="1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17"/>
      <c r="C945" s="3"/>
      <c r="D945" s="3"/>
      <c r="E945" s="1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17"/>
      <c r="C946" s="3"/>
      <c r="D946" s="3"/>
      <c r="E946" s="1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17"/>
      <c r="C947" s="3"/>
      <c r="D947" s="3"/>
      <c r="E947" s="1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17"/>
      <c r="C948" s="3"/>
      <c r="D948" s="3"/>
      <c r="E948" s="1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17"/>
      <c r="C949" s="3"/>
      <c r="D949" s="3"/>
      <c r="E949" s="1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17"/>
      <c r="C950" s="3"/>
      <c r="D950" s="3"/>
      <c r="E950" s="1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17"/>
      <c r="C951" s="3"/>
      <c r="D951" s="3"/>
      <c r="E951" s="1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17"/>
      <c r="C952" s="3"/>
      <c r="D952" s="3"/>
      <c r="E952" s="1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17"/>
      <c r="C953" s="3"/>
      <c r="D953" s="3"/>
      <c r="E953" s="1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17"/>
      <c r="C954" s="3"/>
      <c r="D954" s="3"/>
      <c r="E954" s="1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17"/>
      <c r="C955" s="3"/>
      <c r="D955" s="3"/>
      <c r="E955" s="1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17"/>
      <c r="C956" s="3"/>
      <c r="D956" s="3"/>
      <c r="E956" s="1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17"/>
      <c r="C957" s="3"/>
      <c r="D957" s="3"/>
      <c r="E957" s="1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17"/>
      <c r="C958" s="3"/>
      <c r="D958" s="3"/>
      <c r="E958" s="1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17"/>
      <c r="C959" s="3"/>
      <c r="D959" s="3"/>
      <c r="E959" s="1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17"/>
      <c r="C960" s="3"/>
      <c r="D960" s="3"/>
      <c r="E960" s="1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17"/>
      <c r="C961" s="3"/>
      <c r="D961" s="3"/>
      <c r="E961" s="1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17"/>
      <c r="C962" s="3"/>
      <c r="D962" s="3"/>
      <c r="E962" s="1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17"/>
      <c r="C963" s="3"/>
      <c r="D963" s="3"/>
      <c r="E963" s="1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17"/>
      <c r="C964" s="3"/>
      <c r="D964" s="3"/>
      <c r="E964" s="1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17"/>
      <c r="C965" s="3"/>
      <c r="D965" s="3"/>
      <c r="E965" s="1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17"/>
      <c r="C966" s="3"/>
      <c r="D966" s="3"/>
      <c r="E966" s="1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17"/>
      <c r="C967" s="3"/>
      <c r="D967" s="3"/>
      <c r="E967" s="1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17"/>
      <c r="C968" s="3"/>
      <c r="D968" s="3"/>
      <c r="E968" s="1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17"/>
      <c r="C969" s="3"/>
      <c r="D969" s="3"/>
      <c r="E969" s="1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17"/>
      <c r="C970" s="3"/>
      <c r="D970" s="3"/>
      <c r="E970" s="1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17"/>
      <c r="C971" s="3"/>
      <c r="D971" s="3"/>
      <c r="E971" s="1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17"/>
      <c r="C972" s="3"/>
      <c r="D972" s="3"/>
      <c r="E972" s="1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17"/>
      <c r="C973" s="3"/>
      <c r="D973" s="3"/>
      <c r="E973" s="1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17"/>
      <c r="C974" s="3"/>
      <c r="D974" s="3"/>
      <c r="E974" s="1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17"/>
      <c r="C975" s="3"/>
      <c r="D975" s="3"/>
      <c r="E975" s="1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17"/>
      <c r="C976" s="3"/>
      <c r="D976" s="3"/>
      <c r="E976" s="1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17"/>
      <c r="C977" s="3"/>
      <c r="D977" s="3"/>
      <c r="E977" s="1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17"/>
      <c r="C978" s="3"/>
      <c r="D978" s="3"/>
      <c r="E978" s="1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17"/>
      <c r="C979" s="3"/>
      <c r="D979" s="3"/>
      <c r="E979" s="1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17"/>
      <c r="C980" s="3"/>
      <c r="D980" s="3"/>
      <c r="E980" s="1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17"/>
      <c r="C981" s="3"/>
      <c r="D981" s="3"/>
      <c r="E981" s="1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17"/>
      <c r="C982" s="3"/>
      <c r="D982" s="3"/>
      <c r="E982" s="1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17"/>
      <c r="C983" s="3"/>
      <c r="D983" s="3"/>
      <c r="E983" s="1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17"/>
      <c r="C984" s="3"/>
      <c r="D984" s="3"/>
      <c r="E984" s="1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17"/>
      <c r="C985" s="3"/>
      <c r="D985" s="3"/>
      <c r="E985" s="1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17"/>
      <c r="C986" s="3"/>
      <c r="D986" s="3"/>
      <c r="E986" s="1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17"/>
      <c r="C987" s="3"/>
      <c r="D987" s="3"/>
      <c r="E987" s="1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17"/>
      <c r="C988" s="3"/>
      <c r="D988" s="3"/>
      <c r="E988" s="1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17"/>
      <c r="C989" s="3"/>
      <c r="D989" s="3"/>
      <c r="E989" s="1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17"/>
      <c r="C990" s="3"/>
      <c r="D990" s="3"/>
      <c r="E990" s="1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17"/>
      <c r="C991" s="3"/>
      <c r="D991" s="3"/>
      <c r="E991" s="1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17"/>
      <c r="C992" s="3"/>
      <c r="D992" s="3"/>
      <c r="E992" s="1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17"/>
      <c r="C993" s="3"/>
      <c r="D993" s="3"/>
      <c r="E993" s="1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17"/>
      <c r="C994" s="3"/>
      <c r="D994" s="3"/>
      <c r="E994" s="1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17"/>
      <c r="C995" s="3"/>
      <c r="D995" s="3"/>
      <c r="E995" s="1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17"/>
      <c r="C996" s="3"/>
      <c r="D996" s="3"/>
      <c r="E996" s="1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drawing r:id="rId1"/>
</worksheet>
</file>